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Slagers\2022\"/>
    </mc:Choice>
  </mc:AlternateContent>
  <xr:revisionPtr revIDLastSave="0" documentId="13_ncr:1_{3DD8B019-1F82-4158-970B-84A0BC3A609E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Maand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Parameters!#REF!</definedName>
    <definedName name="Max_pensioengev_salaris_per_uur_OP_NP">Parameters!$B$9</definedName>
    <definedName name="Max_pensioengev_salaris_per_uur_VPL">Parameters!#REF!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Parameters!$B$12</definedName>
    <definedName name="Premie___VPL">Parameters!#REF!</definedName>
    <definedName name="Premie__VOS">Parameters!$B$13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B3" i="2"/>
  <c r="B11" i="2" s="1"/>
  <c r="E54" i="1" l="1"/>
  <c r="E55" i="1"/>
  <c r="E56" i="1"/>
  <c r="E57" i="1"/>
  <c r="E58" i="1"/>
  <c r="E53" i="1"/>
  <c r="F58" i="1"/>
  <c r="F57" i="1"/>
  <c r="F56" i="1"/>
  <c r="F55" i="1"/>
  <c r="F54" i="1"/>
  <c r="F53" i="1"/>
  <c r="C53" i="1"/>
  <c r="C54" i="1" s="1"/>
  <c r="C55" i="1" s="1"/>
  <c r="C56" i="1" s="1"/>
  <c r="C57" i="1" s="1"/>
  <c r="C58" i="1" s="1"/>
  <c r="E20" i="1"/>
  <c r="E21" i="1"/>
  <c r="E22" i="1"/>
  <c r="E23" i="1"/>
  <c r="E24" i="1"/>
  <c r="E25" i="1"/>
  <c r="E26" i="1"/>
  <c r="E27" i="1"/>
  <c r="E28" i="1"/>
  <c r="E29" i="1"/>
  <c r="E30" i="1"/>
  <c r="E19" i="1"/>
  <c r="F30" i="1"/>
  <c r="F29" i="1"/>
  <c r="F28" i="1"/>
  <c r="F27" i="1"/>
  <c r="F26" i="1"/>
  <c r="F25" i="1"/>
  <c r="F24" i="1"/>
  <c r="F23" i="1"/>
  <c r="F22" i="1"/>
  <c r="F21" i="1"/>
  <c r="F20" i="1"/>
  <c r="F19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E36" i="1"/>
  <c r="E37" i="1"/>
  <c r="E38" i="1"/>
  <c r="E39" i="1"/>
  <c r="E40" i="1"/>
  <c r="E41" i="1"/>
  <c r="E42" i="1"/>
  <c r="E43" i="1"/>
  <c r="E44" i="1"/>
  <c r="E45" i="1"/>
  <c r="E46" i="1"/>
  <c r="E35" i="1"/>
  <c r="F46" i="1"/>
  <c r="F45" i="1"/>
  <c r="F44" i="1"/>
  <c r="F43" i="1"/>
  <c r="F42" i="1"/>
  <c r="F41" i="1"/>
  <c r="F40" i="1"/>
  <c r="F39" i="1"/>
  <c r="F38" i="1"/>
  <c r="F37" i="1"/>
  <c r="F36" i="1"/>
  <c r="F35" i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G54" i="1" l="1"/>
  <c r="H54" i="1" s="1"/>
  <c r="I54" i="1" s="1"/>
  <c r="G21" i="1"/>
  <c r="G20" i="1"/>
  <c r="G19" i="1"/>
  <c r="G27" i="1"/>
  <c r="G23" i="1"/>
  <c r="G36" i="1"/>
  <c r="H36" i="1" s="1"/>
  <c r="G30" i="1"/>
  <c r="G26" i="1"/>
  <c r="G22" i="1"/>
  <c r="G57" i="1"/>
  <c r="H57" i="1" s="1"/>
  <c r="I57" i="1" s="1"/>
  <c r="G29" i="1"/>
  <c r="G25" i="1"/>
  <c r="G56" i="1"/>
  <c r="H56" i="1" s="1"/>
  <c r="I56" i="1" s="1"/>
  <c r="G28" i="1"/>
  <c r="G24" i="1"/>
  <c r="G53" i="1"/>
  <c r="H53" i="1" s="1"/>
  <c r="I53" i="1" s="1"/>
  <c r="G55" i="1"/>
  <c r="H55" i="1" s="1"/>
  <c r="I55" i="1" s="1"/>
  <c r="G58" i="1"/>
  <c r="H58" i="1" s="1"/>
  <c r="I58" i="1" s="1"/>
  <c r="G41" i="1"/>
  <c r="H41" i="1" s="1"/>
  <c r="G46" i="1"/>
  <c r="H46" i="1" s="1"/>
  <c r="I46" i="1" s="1"/>
  <c r="G42" i="1"/>
  <c r="H42" i="1" s="1"/>
  <c r="I42" i="1" s="1"/>
  <c r="G38" i="1"/>
  <c r="H38" i="1" s="1"/>
  <c r="I38" i="1" s="1"/>
  <c r="G45" i="1"/>
  <c r="H45" i="1" s="1"/>
  <c r="I45" i="1" s="1"/>
  <c r="G37" i="1"/>
  <c r="H37" i="1" s="1"/>
  <c r="G44" i="1"/>
  <c r="H44" i="1" s="1"/>
  <c r="I44" i="1" s="1"/>
  <c r="G40" i="1"/>
  <c r="H40" i="1" s="1"/>
  <c r="I40" i="1" s="1"/>
  <c r="G35" i="1"/>
  <c r="H35" i="1" s="1"/>
  <c r="G43" i="1"/>
  <c r="H43" i="1" s="1"/>
  <c r="I43" i="1" s="1"/>
  <c r="G39" i="1"/>
  <c r="H39" i="1" s="1"/>
  <c r="F4" i="1"/>
  <c r="F5" i="1"/>
  <c r="F6" i="1"/>
  <c r="F7" i="1"/>
  <c r="F8" i="1"/>
  <c r="F9" i="1"/>
  <c r="F10" i="1"/>
  <c r="F11" i="1"/>
  <c r="F12" i="1"/>
  <c r="F13" i="1"/>
  <c r="F14" i="1"/>
  <c r="B9" i="2"/>
  <c r="B7" i="2"/>
  <c r="N58" i="1" l="1"/>
  <c r="N57" i="1"/>
  <c r="H30" i="1"/>
  <c r="I30" i="1" s="1"/>
  <c r="I35" i="1"/>
  <c r="J35" i="1" s="1"/>
  <c r="K35" i="1" s="1"/>
  <c r="S35" i="1" s="1"/>
  <c r="I41" i="1"/>
  <c r="N41" i="1" s="1"/>
  <c r="I39" i="1"/>
  <c r="N39" i="1" s="1"/>
  <c r="I36" i="1"/>
  <c r="N36" i="1" s="1"/>
  <c r="I37" i="1"/>
  <c r="N37" i="1" s="1"/>
  <c r="H27" i="1"/>
  <c r="I27" i="1" s="1"/>
  <c r="N27" i="1" s="1"/>
  <c r="N40" i="1"/>
  <c r="L38" i="1"/>
  <c r="M38" i="1" s="1"/>
  <c r="N56" i="1"/>
  <c r="L56" i="1"/>
  <c r="M56" i="1" s="1"/>
  <c r="J56" i="1"/>
  <c r="K56" i="1" s="1"/>
  <c r="N55" i="1"/>
  <c r="L55" i="1"/>
  <c r="M55" i="1" s="1"/>
  <c r="J55" i="1"/>
  <c r="K55" i="1" s="1"/>
  <c r="L58" i="1"/>
  <c r="M58" i="1" s="1"/>
  <c r="O58" i="1" s="1"/>
  <c r="J58" i="1"/>
  <c r="K58" i="1" s="1"/>
  <c r="N54" i="1"/>
  <c r="L54" i="1"/>
  <c r="M54" i="1" s="1"/>
  <c r="J54" i="1"/>
  <c r="K54" i="1" s="1"/>
  <c r="L57" i="1"/>
  <c r="M57" i="1" s="1"/>
  <c r="J57" i="1"/>
  <c r="K57" i="1" s="1"/>
  <c r="N53" i="1"/>
  <c r="L53" i="1"/>
  <c r="M53" i="1" s="1"/>
  <c r="J53" i="1"/>
  <c r="K53" i="1" s="1"/>
  <c r="S53" i="1" s="1"/>
  <c r="H23" i="1"/>
  <c r="H20" i="1"/>
  <c r="H24" i="1"/>
  <c r="H28" i="1"/>
  <c r="H19" i="1"/>
  <c r="H21" i="1"/>
  <c r="H25" i="1"/>
  <c r="H29" i="1"/>
  <c r="H22" i="1"/>
  <c r="H26" i="1"/>
  <c r="N30" i="1"/>
  <c r="J30" i="1"/>
  <c r="K30" i="1" s="1"/>
  <c r="J27" i="1"/>
  <c r="K27" i="1" s="1"/>
  <c r="N38" i="1"/>
  <c r="J40" i="1"/>
  <c r="K40" i="1" s="1"/>
  <c r="L46" i="1"/>
  <c r="M46" i="1" s="1"/>
  <c r="L40" i="1"/>
  <c r="M40" i="1" s="1"/>
  <c r="N46" i="1"/>
  <c r="J38" i="1"/>
  <c r="K38" i="1" s="1"/>
  <c r="J46" i="1"/>
  <c r="K46" i="1" s="1"/>
  <c r="N43" i="1"/>
  <c r="L43" i="1"/>
  <c r="M43" i="1" s="1"/>
  <c r="J43" i="1"/>
  <c r="K43" i="1" s="1"/>
  <c r="N42" i="1"/>
  <c r="L42" i="1"/>
  <c r="M42" i="1" s="1"/>
  <c r="J42" i="1"/>
  <c r="K42" i="1" s="1"/>
  <c r="N45" i="1"/>
  <c r="L45" i="1"/>
  <c r="M45" i="1" s="1"/>
  <c r="J45" i="1"/>
  <c r="K45" i="1" s="1"/>
  <c r="N44" i="1"/>
  <c r="L44" i="1"/>
  <c r="M44" i="1" s="1"/>
  <c r="J44" i="1"/>
  <c r="K44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E7" i="1"/>
  <c r="E8" i="1"/>
  <c r="E9" i="1"/>
  <c r="E10" i="1"/>
  <c r="E11" i="1"/>
  <c r="E12" i="1"/>
  <c r="E13" i="1"/>
  <c r="E14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S44" i="1" l="1"/>
  <c r="J41" i="1"/>
  <c r="K41" i="1" s="1"/>
  <c r="S41" i="1" s="1"/>
  <c r="L36" i="1"/>
  <c r="M36" i="1" s="1"/>
  <c r="L30" i="1"/>
  <c r="M30" i="1" s="1"/>
  <c r="S45" i="1"/>
  <c r="S46" i="1"/>
  <c r="L27" i="1"/>
  <c r="M27" i="1" s="1"/>
  <c r="O57" i="1"/>
  <c r="T35" i="1"/>
  <c r="O44" i="1"/>
  <c r="O45" i="1"/>
  <c r="O43" i="1"/>
  <c r="O46" i="1"/>
  <c r="S57" i="1"/>
  <c r="J39" i="1"/>
  <c r="K39" i="1" s="1"/>
  <c r="S40" i="1" s="1"/>
  <c r="O30" i="1"/>
  <c r="I13" i="1"/>
  <c r="O36" i="1"/>
  <c r="I11" i="1"/>
  <c r="I7" i="1"/>
  <c r="I29" i="1"/>
  <c r="L29" i="1" s="1"/>
  <c r="M29" i="1" s="1"/>
  <c r="I19" i="1"/>
  <c r="I23" i="1"/>
  <c r="I14" i="1"/>
  <c r="I10" i="1"/>
  <c r="N35" i="1"/>
  <c r="J37" i="1"/>
  <c r="K37" i="1" s="1"/>
  <c r="S38" i="1" s="1"/>
  <c r="J36" i="1"/>
  <c r="K36" i="1" s="1"/>
  <c r="S36" i="1" s="1"/>
  <c r="T36" i="1" s="1"/>
  <c r="I26" i="1"/>
  <c r="J26" i="1" s="1"/>
  <c r="K26" i="1" s="1"/>
  <c r="S27" i="1" s="1"/>
  <c r="I25" i="1"/>
  <c r="N25" i="1" s="1"/>
  <c r="I28" i="1"/>
  <c r="J28" i="1" s="1"/>
  <c r="K28" i="1" s="1"/>
  <c r="S28" i="1" s="1"/>
  <c r="L41" i="1"/>
  <c r="M41" i="1" s="1"/>
  <c r="O41" i="1" s="1"/>
  <c r="I9" i="1"/>
  <c r="I22" i="1"/>
  <c r="J22" i="1" s="1"/>
  <c r="K22" i="1" s="1"/>
  <c r="I21" i="1"/>
  <c r="L21" i="1" s="1"/>
  <c r="M21" i="1" s="1"/>
  <c r="I24" i="1"/>
  <c r="O40" i="1"/>
  <c r="I12" i="1"/>
  <c r="I8" i="1"/>
  <c r="L39" i="1"/>
  <c r="M39" i="1" s="1"/>
  <c r="O39" i="1" s="1"/>
  <c r="L37" i="1"/>
  <c r="M37" i="1" s="1"/>
  <c r="O37" i="1" s="1"/>
  <c r="L35" i="1"/>
  <c r="M35" i="1" s="1"/>
  <c r="I20" i="1"/>
  <c r="N20" i="1" s="1"/>
  <c r="O38" i="1"/>
  <c r="T53" i="1"/>
  <c r="S54" i="1"/>
  <c r="T54" i="1" s="1"/>
  <c r="S58" i="1"/>
  <c r="S55" i="1"/>
  <c r="S56" i="1"/>
  <c r="S42" i="1"/>
  <c r="S43" i="1"/>
  <c r="O53" i="1"/>
  <c r="O54" i="1"/>
  <c r="O55" i="1"/>
  <c r="O56" i="1"/>
  <c r="O27" i="1"/>
  <c r="N29" i="1"/>
  <c r="O42" i="1"/>
  <c r="G6" i="1"/>
  <c r="H6" i="1" s="1"/>
  <c r="I6" i="1" s="1"/>
  <c r="G4" i="1"/>
  <c r="H4" i="1" s="1"/>
  <c r="G5" i="1"/>
  <c r="H5" i="1" s="1"/>
  <c r="H3" i="1"/>
  <c r="E5" i="1"/>
  <c r="E4" i="1"/>
  <c r="E3" i="1"/>
  <c r="Q44" i="1" l="1"/>
  <c r="P44" i="1"/>
  <c r="Q46" i="1"/>
  <c r="P46" i="1"/>
  <c r="P57" i="1"/>
  <c r="P58" i="1"/>
  <c r="Q43" i="1"/>
  <c r="P43" i="1"/>
  <c r="Q45" i="1"/>
  <c r="P45" i="1"/>
  <c r="J20" i="1"/>
  <c r="K20" i="1" s="1"/>
  <c r="L20" i="1"/>
  <c r="M20" i="1" s="1"/>
  <c r="N24" i="1"/>
  <c r="S39" i="1"/>
  <c r="J23" i="1"/>
  <c r="K23" i="1" s="1"/>
  <c r="S23" i="1" s="1"/>
  <c r="J25" i="1"/>
  <c r="K25" i="1" s="1"/>
  <c r="S26" i="1" s="1"/>
  <c r="N23" i="1"/>
  <c r="L26" i="1"/>
  <c r="M26" i="1" s="1"/>
  <c r="L19" i="1"/>
  <c r="M19" i="1" s="1"/>
  <c r="Q38" i="1"/>
  <c r="P39" i="1"/>
  <c r="I3" i="1"/>
  <c r="N3" i="1" s="1"/>
  <c r="J24" i="1"/>
  <c r="K24" i="1" s="1"/>
  <c r="L23" i="1"/>
  <c r="M23" i="1" s="1"/>
  <c r="L28" i="1"/>
  <c r="M28" i="1" s="1"/>
  <c r="Q40" i="1"/>
  <c r="N28" i="1"/>
  <c r="J29" i="1"/>
  <c r="K29" i="1" s="1"/>
  <c r="S30" i="1" s="1"/>
  <c r="Q37" i="1"/>
  <c r="P37" i="1"/>
  <c r="N19" i="1"/>
  <c r="N26" i="1"/>
  <c r="O35" i="1"/>
  <c r="P36" i="1" s="1"/>
  <c r="P41" i="1"/>
  <c r="Q41" i="1"/>
  <c r="J21" i="1"/>
  <c r="K21" i="1" s="1"/>
  <c r="S22" i="1" s="1"/>
  <c r="T58" i="1"/>
  <c r="I5" i="1"/>
  <c r="L25" i="1"/>
  <c r="M25" i="1" s="1"/>
  <c r="O25" i="1" s="1"/>
  <c r="N21" i="1"/>
  <c r="O21" i="1" s="1"/>
  <c r="J19" i="1"/>
  <c r="K19" i="1" s="1"/>
  <c r="S19" i="1" s="1"/>
  <c r="P38" i="1"/>
  <c r="P40" i="1"/>
  <c r="I4" i="1"/>
  <c r="N22" i="1"/>
  <c r="L22" i="1"/>
  <c r="M22" i="1" s="1"/>
  <c r="L24" i="1"/>
  <c r="M24" i="1" s="1"/>
  <c r="S37" i="1"/>
  <c r="T56" i="1"/>
  <c r="T57" i="1"/>
  <c r="Q39" i="1"/>
  <c r="Q42" i="1"/>
  <c r="P42" i="1"/>
  <c r="Q58" i="1"/>
  <c r="P54" i="1"/>
  <c r="Q54" i="1"/>
  <c r="Q56" i="1"/>
  <c r="P56" i="1"/>
  <c r="Q57" i="1"/>
  <c r="T55" i="1"/>
  <c r="P55" i="1"/>
  <c r="Q55" i="1"/>
  <c r="Q53" i="1"/>
  <c r="P53" i="1"/>
  <c r="O20" i="1"/>
  <c r="O29" i="1"/>
  <c r="L8" i="1"/>
  <c r="M8" i="1" s="1"/>
  <c r="L11" i="1"/>
  <c r="M11" i="1" s="1"/>
  <c r="L10" i="1"/>
  <c r="M10" i="1" s="1"/>
  <c r="L12" i="1"/>
  <c r="M12" i="1" s="1"/>
  <c r="L14" i="1"/>
  <c r="M14" i="1" s="1"/>
  <c r="L9" i="1"/>
  <c r="M9" i="1" s="1"/>
  <c r="L6" i="1"/>
  <c r="M6" i="1" s="1"/>
  <c r="L7" i="1"/>
  <c r="M7" i="1" s="1"/>
  <c r="L13" i="1"/>
  <c r="M13" i="1" s="1"/>
  <c r="J10" i="1"/>
  <c r="N10" i="1"/>
  <c r="J12" i="1"/>
  <c r="N12" i="1"/>
  <c r="J14" i="1"/>
  <c r="N14" i="1"/>
  <c r="J9" i="1"/>
  <c r="N9" i="1"/>
  <c r="J6" i="1"/>
  <c r="N6" i="1"/>
  <c r="J7" i="1"/>
  <c r="N7" i="1"/>
  <c r="J13" i="1"/>
  <c r="N13" i="1"/>
  <c r="J8" i="1"/>
  <c r="N8" i="1"/>
  <c r="J11" i="1"/>
  <c r="N11" i="1"/>
  <c r="O13" i="1" l="1"/>
  <c r="O14" i="1"/>
  <c r="O12" i="1"/>
  <c r="Q13" i="1" s="1"/>
  <c r="T37" i="1"/>
  <c r="T46" i="1"/>
  <c r="T44" i="1"/>
  <c r="T45" i="1"/>
  <c r="O26" i="1"/>
  <c r="P27" i="1" s="1"/>
  <c r="O24" i="1"/>
  <c r="Q25" i="1" s="1"/>
  <c r="J3" i="1"/>
  <c r="K3" i="1" s="1"/>
  <c r="S3" i="1" s="1"/>
  <c r="T3" i="1" s="1"/>
  <c r="P35" i="1"/>
  <c r="S29" i="1"/>
  <c r="S24" i="1"/>
  <c r="O19" i="1"/>
  <c r="P19" i="1" s="1"/>
  <c r="Q36" i="1"/>
  <c r="O23" i="1"/>
  <c r="T41" i="1"/>
  <c r="L3" i="1"/>
  <c r="M3" i="1" s="1"/>
  <c r="O3" i="1" s="1"/>
  <c r="T38" i="1"/>
  <c r="T40" i="1"/>
  <c r="T39" i="1"/>
  <c r="T43" i="1"/>
  <c r="Q35" i="1"/>
  <c r="O28" i="1"/>
  <c r="Q29" i="1" s="1"/>
  <c r="S25" i="1"/>
  <c r="T42" i="1"/>
  <c r="O22" i="1"/>
  <c r="P22" i="1" s="1"/>
  <c r="S21" i="1"/>
  <c r="S20" i="1"/>
  <c r="T20" i="1" s="1"/>
  <c r="T19" i="1"/>
  <c r="P30" i="1"/>
  <c r="Q21" i="1"/>
  <c r="P21" i="1"/>
  <c r="R54" i="1"/>
  <c r="R53" i="1"/>
  <c r="R57" i="1"/>
  <c r="R55" i="1"/>
  <c r="R56" i="1"/>
  <c r="R58" i="1"/>
  <c r="Q30" i="1"/>
  <c r="O6" i="1"/>
  <c r="O11" i="1"/>
  <c r="P12" i="1" s="1"/>
  <c r="O7" i="1"/>
  <c r="O9" i="1"/>
  <c r="O10" i="1"/>
  <c r="O8" i="1"/>
  <c r="L4" i="1"/>
  <c r="M4" i="1" s="1"/>
  <c r="L5" i="1"/>
  <c r="M5" i="1" s="1"/>
  <c r="J4" i="1"/>
  <c r="K4" i="1" s="1"/>
  <c r="N4" i="1"/>
  <c r="J5" i="1"/>
  <c r="N5" i="1"/>
  <c r="P13" i="1" l="1"/>
  <c r="Q14" i="1"/>
  <c r="P14" i="1"/>
  <c r="Q26" i="1"/>
  <c r="Q19" i="1"/>
  <c r="R35" i="1"/>
  <c r="R44" i="1"/>
  <c r="R45" i="1"/>
  <c r="R46" i="1"/>
  <c r="Q12" i="1"/>
  <c r="P20" i="1"/>
  <c r="Q27" i="1"/>
  <c r="Q20" i="1"/>
  <c r="S4" i="1"/>
  <c r="T4" i="1" s="1"/>
  <c r="P25" i="1"/>
  <c r="Q24" i="1"/>
  <c r="P26" i="1"/>
  <c r="R40" i="1"/>
  <c r="P24" i="1"/>
  <c r="T28" i="1"/>
  <c r="Q23" i="1"/>
  <c r="R41" i="1"/>
  <c r="R39" i="1"/>
  <c r="R42" i="1"/>
  <c r="R38" i="1"/>
  <c r="R43" i="1"/>
  <c r="R37" i="1"/>
  <c r="R36" i="1"/>
  <c r="P28" i="1"/>
  <c r="Q28" i="1"/>
  <c r="P29" i="1"/>
  <c r="T21" i="1"/>
  <c r="Q22" i="1"/>
  <c r="P23" i="1"/>
  <c r="T25" i="1"/>
  <c r="T29" i="1"/>
  <c r="T30" i="1"/>
  <c r="T26" i="1"/>
  <c r="T27" i="1"/>
  <c r="T24" i="1"/>
  <c r="T22" i="1"/>
  <c r="T23" i="1"/>
  <c r="Q8" i="1"/>
  <c r="P8" i="1"/>
  <c r="Q7" i="1"/>
  <c r="P7" i="1"/>
  <c r="P10" i="1"/>
  <c r="P11" i="1"/>
  <c r="Q9" i="1"/>
  <c r="P9" i="1"/>
  <c r="Q3" i="1"/>
  <c r="P3" i="1"/>
  <c r="Q10" i="1"/>
  <c r="Q11" i="1"/>
  <c r="O4" i="1"/>
  <c r="O5" i="1"/>
  <c r="K5" i="1"/>
  <c r="S5" i="1" s="1"/>
  <c r="R21" i="1" l="1"/>
  <c r="R19" i="1"/>
  <c r="R20" i="1"/>
  <c r="R3" i="1"/>
  <c r="T5" i="1"/>
  <c r="R30" i="1"/>
  <c r="R27" i="1"/>
  <c r="R29" i="1"/>
  <c r="R24" i="1"/>
  <c r="R23" i="1"/>
  <c r="R22" i="1"/>
  <c r="R26" i="1"/>
  <c r="R25" i="1"/>
  <c r="R28" i="1"/>
  <c r="P5" i="1"/>
  <c r="Q4" i="1"/>
  <c r="R4" i="1" s="1"/>
  <c r="P4" i="1"/>
  <c r="Q6" i="1"/>
  <c r="P6" i="1"/>
  <c r="Q5" i="1"/>
  <c r="K6" i="1"/>
  <c r="S6" i="1" s="1"/>
  <c r="R12" i="1" l="1"/>
  <c r="R14" i="1"/>
  <c r="R13" i="1"/>
  <c r="R11" i="1"/>
  <c r="R7" i="1"/>
  <c r="R5" i="1"/>
  <c r="R10" i="1"/>
  <c r="R9" i="1"/>
  <c r="R6" i="1"/>
  <c r="R8" i="1"/>
  <c r="T6" i="1"/>
  <c r="K7" i="1"/>
  <c r="S7" i="1" s="1"/>
  <c r="T7" i="1" l="1"/>
  <c r="K8" i="1"/>
  <c r="S8" i="1" s="1"/>
  <c r="T8" i="1" l="1"/>
  <c r="K9" i="1"/>
  <c r="S9" i="1" s="1"/>
  <c r="T9" i="1" l="1"/>
  <c r="K10" i="1"/>
  <c r="S10" i="1" s="1"/>
  <c r="T10" i="1" s="1"/>
  <c r="K11" i="1" l="1"/>
  <c r="S11" i="1" s="1"/>
  <c r="T11" i="1" l="1"/>
  <c r="K12" i="1"/>
  <c r="S12" i="1" s="1"/>
  <c r="T12" i="1" s="1"/>
  <c r="K13" i="1" l="1"/>
  <c r="S13" i="1" s="1"/>
  <c r="T13" i="1" s="1"/>
  <c r="K14" i="1" l="1"/>
  <c r="S14" i="1" s="1"/>
  <c r="T14" i="1" s="1"/>
</calcChain>
</file>

<file path=xl/sharedStrings.xml><?xml version="1.0" encoding="utf-8"?>
<sst xmlns="http://schemas.openxmlformats.org/spreadsheetml/2006/main" count="161" uniqueCount="55">
  <si>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</si>
  <si>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</si>
  <si>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</si>
  <si>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</si>
  <si>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</si>
  <si>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</si>
  <si>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</si>
  <si>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</si>
  <si>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</si>
  <si>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</si>
  <si>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</si>
  <si>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</si>
  <si>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</si>
  <si>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</si>
  <si>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</si>
  <si>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Premie % OP/NP</t>
  </si>
  <si>
    <t>Premie% VOS</t>
  </si>
  <si>
    <t>Tijdvak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</si>
  <si>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</si>
  <si>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</si>
  <si>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</si>
  <si>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</si>
  <si>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</si>
  <si>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</si>
  <si>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</si>
  <si>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</si>
  <si>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</si>
  <si>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</si>
  <si>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</si>
  <si>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</si>
  <si>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</si>
  <si>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</si>
  <si>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</si>
  <si>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</si>
  <si>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</si>
  <si>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Regelingloon BPS om mee te rekenen</t>
  </si>
  <si>
    <t>Cumulatief Regelingloon VOS om mee te rekenen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</si>
  <si>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</si>
  <si>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</si>
  <si>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</si>
  <si>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</si>
  <si>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</si>
  <si>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</si>
  <si>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</si>
  <si>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</si>
  <si>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</si>
  <si>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</si>
  <si>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</si>
  <si>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</si>
  <si>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</si>
  <si>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1 maart in dienst en 1 september uit dienst</t>
  </si>
  <si>
    <t>nvt</t>
  </si>
  <si>
    <t>Max salaris per jaar VOS</t>
  </si>
  <si>
    <t>Max salaris per uur VOS</t>
  </si>
  <si>
    <t>BPS/VOS Uren om mee te rekenen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</si>
</sst>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44" fontId="0" fillId="0" borderId="0" xfId="1" applyFont="1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zoomScaleNormal="100" workbookViewId="0">
      <selection activeCell="D1" sqref="D1"/>
    </sheetView>
  </sheetViews>
  <sheetFormatPr defaultRowHeight="15" x14ac:dyDescent="0.25"/>
  <cols>
    <col min="1" max="1" width="13.42578125" customWidth="1"/>
    <col min="2" max="11" width="13.5703125" customWidth="1"/>
    <col min="12" max="13" width="13.5703125" style="3" customWidth="1"/>
    <col min="14" max="15" width="13.5703125" customWidth="1"/>
    <col min="16" max="16" width="13.5703125" style="3" customWidth="1"/>
    <col min="17" max="17" width="13.5703125" style="22" customWidth="1"/>
    <col min="18" max="22" width="13.5703125" customWidth="1"/>
  </cols>
  <sheetData>
    <row r="1" spans="1:21" s="3" customFormat="1" x14ac:dyDescent="0.25">
      <c r="A1" s="3" t="s">
        <v>41</v>
      </c>
      <c r="B1" s="3" t="s">
        <v>48</v>
      </c>
      <c r="Q1" s="22"/>
    </row>
    <row r="2" spans="1:21" s="20" customFormat="1" ht="51.75" x14ac:dyDescent="0.25">
      <c r="A2" s="19" t="s">
        <v>17</v>
      </c>
      <c r="B2" s="19" t="s">
        <v>0</v>
      </c>
      <c r="C2" s="19" t="s">
        <v>30</v>
      </c>
      <c r="D2" s="19" t="s">
        <v>1</v>
      </c>
      <c r="E2" s="19" t="s">
        <v>32</v>
      </c>
      <c r="F2" s="19" t="s">
        <v>2</v>
      </c>
      <c r="G2" s="19" t="s">
        <v>31</v>
      </c>
      <c r="H2" s="19" t="s">
        <v>37</v>
      </c>
      <c r="I2" s="19" t="s">
        <v>54</v>
      </c>
      <c r="J2" s="19" t="s">
        <v>40</v>
      </c>
      <c r="K2" s="19" t="s">
        <v>36</v>
      </c>
      <c r="L2" s="19" t="s">
        <v>39</v>
      </c>
      <c r="M2" s="19" t="s">
        <v>35</v>
      </c>
      <c r="N2" s="19" t="s">
        <v>33</v>
      </c>
      <c r="O2" s="19" t="s">
        <v>34</v>
      </c>
      <c r="P2" s="19" t="s">
        <v>47</v>
      </c>
      <c r="Q2" s="23" t="s">
        <v>43</v>
      </c>
      <c r="R2" s="19" t="s">
        <v>44</v>
      </c>
      <c r="S2" s="23" t="s">
        <v>45</v>
      </c>
      <c r="T2" s="19" t="s">
        <v>46</v>
      </c>
    </row>
    <row r="3" spans="1:21" x14ac:dyDescent="0.25">
      <c r="A3" s="13" t="s">
        <v>18</v>
      </c>
      <c r="B3" s="17">
        <v>2705</v>
      </c>
      <c r="C3" s="16">
        <f>B3</f>
        <v>2705</v>
      </c>
      <c r="D3" s="18">
        <v>198</v>
      </c>
      <c r="E3" s="15">
        <f>SUM($D$3:D3)</f>
        <v>198</v>
      </c>
      <c r="F3" s="14">
        <f>Aantal_SV_dagen_in_het_jaar/12</f>
        <v>21.666666666666668</v>
      </c>
      <c r="G3" s="15">
        <f>SUM($F$3:F3)</f>
        <v>21.666666666666668</v>
      </c>
      <c r="H3" s="14">
        <f>G3*7.6</f>
        <v>164.66666666666666</v>
      </c>
      <c r="I3" s="25">
        <f t="shared" ref="I3:I14" si="0">MIN(H3,E3)</f>
        <v>164.66666666666666</v>
      </c>
      <c r="J3" s="15">
        <f>I3*Parameters!$B$11</f>
        <v>4975.5</v>
      </c>
      <c r="K3" s="26">
        <f t="shared" ref="K3:K14" si="1">MIN(J3,C3)</f>
        <v>2705</v>
      </c>
      <c r="L3" s="16">
        <f t="shared" ref="L3:L14" si="2">I3*Max_pensioengev_salaris_per_uur_OP_NP</f>
        <v>9572.1666666666661</v>
      </c>
      <c r="M3" s="26">
        <f t="shared" ref="M3:M14" si="3">MIN(L3,C3)</f>
        <v>2705</v>
      </c>
      <c r="N3" s="16">
        <f>I3*Franchise_OP_NP_per_uur</f>
        <v>1233.5</v>
      </c>
      <c r="O3" s="16">
        <f>IF(M3-N3&lt;0,0,M3-N3)</f>
        <v>1471.5</v>
      </c>
      <c r="P3" s="17">
        <f>O3</f>
        <v>1471.5</v>
      </c>
      <c r="Q3" s="17">
        <f>O3*Premie___OP_NP</f>
        <v>416.43449999999996</v>
      </c>
      <c r="R3" s="24">
        <f>SUM($Q$3:Q3)</f>
        <v>416.43449999999996</v>
      </c>
      <c r="S3" s="27">
        <f>K3*Premie__VOS</f>
        <v>24.344999999999999</v>
      </c>
      <c r="T3" s="24">
        <f>SUM($S$3:S3)</f>
        <v>24.344999999999999</v>
      </c>
    </row>
    <row r="4" spans="1:21" x14ac:dyDescent="0.25">
      <c r="A4" s="13" t="s">
        <v>19</v>
      </c>
      <c r="B4" s="17">
        <v>2400</v>
      </c>
      <c r="C4" s="16">
        <f t="shared" ref="C4:C14" si="4">C3+B4</f>
        <v>5105</v>
      </c>
      <c r="D4" s="18">
        <v>140</v>
      </c>
      <c r="E4" s="15">
        <f>SUM($D$3:D4)</f>
        <v>338</v>
      </c>
      <c r="F4" s="14">
        <f t="shared" ref="F4:F14" si="5">Aantal_SV_dagen_in_het_jaar/12</f>
        <v>21.666666666666668</v>
      </c>
      <c r="G4" s="15">
        <f>SUM($F$3:F4)</f>
        <v>43.333333333333336</v>
      </c>
      <c r="H4" s="14">
        <f t="shared" ref="H4:H14" si="6">G4*7.6</f>
        <v>329.33333333333331</v>
      </c>
      <c r="I4" s="25">
        <f t="shared" si="0"/>
        <v>329.33333333333331</v>
      </c>
      <c r="J4" s="15">
        <f>I4*Parameters!$B$11</f>
        <v>9951</v>
      </c>
      <c r="K4" s="26">
        <f t="shared" si="1"/>
        <v>5105</v>
      </c>
      <c r="L4" s="16">
        <f t="shared" si="2"/>
        <v>19144.333333333332</v>
      </c>
      <c r="M4" s="26">
        <f t="shared" si="3"/>
        <v>5105</v>
      </c>
      <c r="N4" s="16">
        <f>I4*Franchise_OP_NP_per_uur</f>
        <v>2467</v>
      </c>
      <c r="O4" s="16">
        <f>IF(M4-N4&lt;0,0,M4-N4)</f>
        <v>2638</v>
      </c>
      <c r="P4" s="17">
        <f t="shared" ref="P4:P14" si="7">O4-O3</f>
        <v>1166.5</v>
      </c>
      <c r="Q4" s="17">
        <f t="shared" ref="Q4:Q14" si="8">(O4-O3)*Premie___OP_NP</f>
        <v>330.11949999999996</v>
      </c>
      <c r="R4" s="24">
        <f>SUM($Q$3:Q4)</f>
        <v>746.55399999999986</v>
      </c>
      <c r="S4" s="27">
        <f>(K4-K3)*Premie__VOS</f>
        <v>21.599999999999998</v>
      </c>
      <c r="T4" s="24">
        <f>SUM($S$3:S4)</f>
        <v>45.944999999999993</v>
      </c>
    </row>
    <row r="5" spans="1:21" x14ac:dyDescent="0.25">
      <c r="A5" s="13" t="s">
        <v>20</v>
      </c>
      <c r="B5" s="17">
        <v>2400</v>
      </c>
      <c r="C5" s="16">
        <f t="shared" si="4"/>
        <v>7505</v>
      </c>
      <c r="D5" s="18">
        <v>155</v>
      </c>
      <c r="E5" s="15">
        <f>SUM($D$3:D5)</f>
        <v>493</v>
      </c>
      <c r="F5" s="14">
        <f t="shared" si="5"/>
        <v>21.666666666666668</v>
      </c>
      <c r="G5" s="15">
        <f>SUM($F$3:F5)</f>
        <v>65</v>
      </c>
      <c r="H5" s="14">
        <f t="shared" si="6"/>
        <v>494</v>
      </c>
      <c r="I5" s="25">
        <f t="shared" si="0"/>
        <v>493</v>
      </c>
      <c r="J5" s="15">
        <f>I5*Parameters!$B$11</f>
        <v>14896.284412955465</v>
      </c>
      <c r="K5" s="26">
        <f t="shared" si="1"/>
        <v>7505</v>
      </c>
      <c r="L5" s="16">
        <f t="shared" si="2"/>
        <v>28658.369433198379</v>
      </c>
      <c r="M5" s="26">
        <f t="shared" si="3"/>
        <v>7505</v>
      </c>
      <c r="N5" s="16">
        <f>I5*Franchise_OP_NP_per_uur</f>
        <v>3693.0091093117412</v>
      </c>
      <c r="O5" s="16">
        <f>IF(M5-N5&lt;0,0,M5-N5)</f>
        <v>3811.9908906882588</v>
      </c>
      <c r="P5" s="17">
        <f t="shared" si="7"/>
        <v>1173.9908906882588</v>
      </c>
      <c r="Q5" s="17">
        <f t="shared" si="8"/>
        <v>332.23942206477722</v>
      </c>
      <c r="R5" s="24">
        <f>SUM($Q$3:Q5)</f>
        <v>1078.7934220647771</v>
      </c>
      <c r="S5" s="27">
        <f>(K5-K4)*Premie__VOS</f>
        <v>21.599999999999998</v>
      </c>
      <c r="T5" s="24">
        <f>SUM($S$3:S5)</f>
        <v>67.544999999999987</v>
      </c>
    </row>
    <row r="6" spans="1:21" x14ac:dyDescent="0.25">
      <c r="A6" s="13" t="s">
        <v>21</v>
      </c>
      <c r="B6" s="17">
        <v>3000</v>
      </c>
      <c r="C6" s="16">
        <f t="shared" si="4"/>
        <v>10505</v>
      </c>
      <c r="D6" s="18">
        <v>220</v>
      </c>
      <c r="E6" s="15">
        <f>SUM($D$3:D6)</f>
        <v>713</v>
      </c>
      <c r="F6" s="14">
        <f t="shared" si="5"/>
        <v>21.666666666666668</v>
      </c>
      <c r="G6" s="15">
        <f>SUM($F$3:F6)</f>
        <v>86.666666666666671</v>
      </c>
      <c r="H6" s="14">
        <f t="shared" si="6"/>
        <v>658.66666666666663</v>
      </c>
      <c r="I6" s="25">
        <f t="shared" si="0"/>
        <v>658.66666666666663</v>
      </c>
      <c r="J6" s="15">
        <f>I6*Parameters!$B$11</f>
        <v>19902</v>
      </c>
      <c r="K6" s="26">
        <f t="shared" si="1"/>
        <v>10505</v>
      </c>
      <c r="L6" s="16">
        <f t="shared" si="2"/>
        <v>38288.666666666664</v>
      </c>
      <c r="M6" s="26">
        <f t="shared" si="3"/>
        <v>10505</v>
      </c>
      <c r="N6" s="16">
        <f>I6*Franchise_OP_NP_per_uur</f>
        <v>4934</v>
      </c>
      <c r="O6" s="16">
        <f>IF(M6-N6&lt;0,0,M6-N6)</f>
        <v>5571</v>
      </c>
      <c r="P6" s="17">
        <f t="shared" si="7"/>
        <v>1759.0091093117412</v>
      </c>
      <c r="Q6" s="17">
        <f t="shared" si="8"/>
        <v>497.79957793522271</v>
      </c>
      <c r="R6" s="24">
        <f>SUM($Q$3:Q6)</f>
        <v>1576.5929999999998</v>
      </c>
      <c r="S6" s="27">
        <f>(K6-K5)*Premie__VOS</f>
        <v>26.999999999999996</v>
      </c>
      <c r="T6" s="24">
        <f>SUM($S$3:S6)</f>
        <v>94.544999999999987</v>
      </c>
      <c r="U6" s="21"/>
    </row>
    <row r="7" spans="1:21" x14ac:dyDescent="0.25">
      <c r="A7" s="13" t="s">
        <v>22</v>
      </c>
      <c r="B7" s="17">
        <v>5700</v>
      </c>
      <c r="C7" s="16">
        <f t="shared" si="4"/>
        <v>16205</v>
      </c>
      <c r="D7" s="18">
        <v>80</v>
      </c>
      <c r="E7" s="15">
        <f>SUM($D$3:D7)</f>
        <v>793</v>
      </c>
      <c r="F7" s="14">
        <f t="shared" si="5"/>
        <v>21.666666666666668</v>
      </c>
      <c r="G7" s="15">
        <f>SUM($F$3:F7)</f>
        <v>108.33333333333334</v>
      </c>
      <c r="H7" s="14">
        <f t="shared" si="6"/>
        <v>823.33333333333337</v>
      </c>
      <c r="I7" s="25">
        <f t="shared" si="0"/>
        <v>793</v>
      </c>
      <c r="J7" s="15">
        <f>I7*Parameters!$B$11</f>
        <v>23960.96052631579</v>
      </c>
      <c r="K7" s="26">
        <f t="shared" si="1"/>
        <v>16205</v>
      </c>
      <c r="L7" s="16">
        <f t="shared" si="2"/>
        <v>46097.539473684206</v>
      </c>
      <c r="M7" s="26">
        <f t="shared" si="3"/>
        <v>16205</v>
      </c>
      <c r="N7" s="16">
        <f>I7*Franchise_OP_NP_per_uur</f>
        <v>5940.2763157894742</v>
      </c>
      <c r="O7" s="16">
        <f>IF(M7-N7&lt;0,0,M7-N7)</f>
        <v>10264.723684210527</v>
      </c>
      <c r="P7" s="17">
        <f t="shared" si="7"/>
        <v>4693.7236842105267</v>
      </c>
      <c r="Q7" s="17">
        <f t="shared" si="8"/>
        <v>1328.3238026315789</v>
      </c>
      <c r="R7" s="24">
        <f>SUM($Q$3:Q7)</f>
        <v>2904.9168026315788</v>
      </c>
      <c r="S7" s="27">
        <f>(K7-K6)*Premie__VOS</f>
        <v>51.3</v>
      </c>
      <c r="T7" s="24">
        <f>SUM($S$3:S7)</f>
        <v>145.84499999999997</v>
      </c>
    </row>
    <row r="8" spans="1:21" x14ac:dyDescent="0.25">
      <c r="A8" s="13" t="s">
        <v>23</v>
      </c>
      <c r="B8" s="17">
        <v>2700</v>
      </c>
      <c r="C8" s="16">
        <f t="shared" si="4"/>
        <v>18905</v>
      </c>
      <c r="D8" s="18">
        <v>161</v>
      </c>
      <c r="E8" s="15">
        <f>SUM($D$3:D8)</f>
        <v>954</v>
      </c>
      <c r="F8" s="14">
        <f t="shared" si="5"/>
        <v>21.666666666666668</v>
      </c>
      <c r="G8" s="15">
        <f>SUM($F$3:F8)</f>
        <v>130</v>
      </c>
      <c r="H8" s="14">
        <f t="shared" si="6"/>
        <v>988</v>
      </c>
      <c r="I8" s="25">
        <f t="shared" si="0"/>
        <v>954</v>
      </c>
      <c r="J8" s="15">
        <f>I8*Parameters!$B$11</f>
        <v>28825.670040485831</v>
      </c>
      <c r="K8" s="26">
        <f t="shared" si="1"/>
        <v>18905</v>
      </c>
      <c r="L8" s="16">
        <f t="shared" si="2"/>
        <v>55456.560728744938</v>
      </c>
      <c r="M8" s="26">
        <f t="shared" si="3"/>
        <v>18905</v>
      </c>
      <c r="N8" s="16">
        <f>I8*Franchise_OP_NP_per_uur</f>
        <v>7146.3097165991903</v>
      </c>
      <c r="O8" s="16">
        <f>IF(M8-N8&lt;0,0,M8-N8)</f>
        <v>11758.690283400811</v>
      </c>
      <c r="P8" s="17">
        <f t="shared" si="7"/>
        <v>1493.9665991902839</v>
      </c>
      <c r="Q8" s="17">
        <f t="shared" si="8"/>
        <v>422.79254757085027</v>
      </c>
      <c r="R8" s="24">
        <f>SUM($Q$3:Q8)</f>
        <v>3327.7093502024291</v>
      </c>
      <c r="S8" s="27">
        <f>(K8-K7)*Premie__VOS</f>
        <v>24.299999999999997</v>
      </c>
      <c r="T8" s="24">
        <f>SUM($S$3:S8)</f>
        <v>170.14499999999998</v>
      </c>
    </row>
    <row r="9" spans="1:21" x14ac:dyDescent="0.25">
      <c r="A9" s="13" t="s">
        <v>24</v>
      </c>
      <c r="B9" s="17">
        <v>2700</v>
      </c>
      <c r="C9" s="16">
        <f t="shared" si="4"/>
        <v>21605</v>
      </c>
      <c r="D9" s="18">
        <v>152</v>
      </c>
      <c r="E9" s="15">
        <f>SUM($D$3:D9)</f>
        <v>1106</v>
      </c>
      <c r="F9" s="14">
        <f t="shared" si="5"/>
        <v>21.666666666666668</v>
      </c>
      <c r="G9" s="15">
        <f>SUM($F$3:F9)</f>
        <v>151.66666666666666</v>
      </c>
      <c r="H9" s="14">
        <f t="shared" si="6"/>
        <v>1152.6666666666665</v>
      </c>
      <c r="I9" s="25">
        <f t="shared" si="0"/>
        <v>1106</v>
      </c>
      <c r="J9" s="15">
        <f>I9*Parameters!$B$11</f>
        <v>33418.439271255062</v>
      </c>
      <c r="K9" s="26">
        <f t="shared" si="1"/>
        <v>21605</v>
      </c>
      <c r="L9" s="16">
        <f t="shared" si="2"/>
        <v>64292.406882591087</v>
      </c>
      <c r="M9" s="26">
        <f t="shared" si="3"/>
        <v>21605</v>
      </c>
      <c r="N9" s="16">
        <f>I9*Franchise_OP_NP_per_uur</f>
        <v>8284.925101214576</v>
      </c>
      <c r="O9" s="16">
        <f>IF(M9-N9&lt;0,0,M9-N9)</f>
        <v>13320.074898785424</v>
      </c>
      <c r="P9" s="17">
        <f t="shared" si="7"/>
        <v>1561.3846153846134</v>
      </c>
      <c r="Q9" s="17">
        <f t="shared" si="8"/>
        <v>441.87184615384558</v>
      </c>
      <c r="R9" s="24">
        <f>SUM($Q$3:Q9)</f>
        <v>3769.5811963562746</v>
      </c>
      <c r="S9" s="27">
        <f>(K9-K8)*Premie__VOS</f>
        <v>24.299999999999997</v>
      </c>
      <c r="T9" s="24">
        <f>SUM($S$3:S9)</f>
        <v>194.44499999999999</v>
      </c>
    </row>
    <row r="10" spans="1:21" x14ac:dyDescent="0.25">
      <c r="A10" s="13" t="s">
        <v>25</v>
      </c>
      <c r="B10" s="17">
        <v>2700</v>
      </c>
      <c r="C10" s="16">
        <f t="shared" si="4"/>
        <v>24305</v>
      </c>
      <c r="D10" s="18">
        <v>152</v>
      </c>
      <c r="E10" s="15">
        <f>SUM($D$3:D10)</f>
        <v>1258</v>
      </c>
      <c r="F10" s="14">
        <f t="shared" si="5"/>
        <v>21.666666666666668</v>
      </c>
      <c r="G10" s="15">
        <f>SUM($F$3:F10)</f>
        <v>173.33333333333331</v>
      </c>
      <c r="H10" s="14">
        <f t="shared" si="6"/>
        <v>1317.333333333333</v>
      </c>
      <c r="I10" s="25">
        <f t="shared" si="0"/>
        <v>1258</v>
      </c>
      <c r="J10" s="15">
        <f>I10*Parameters!$B$11</f>
        <v>38011.208502024288</v>
      </c>
      <c r="K10" s="26">
        <f t="shared" si="1"/>
        <v>24305</v>
      </c>
      <c r="L10" s="16">
        <f t="shared" si="2"/>
        <v>73128.253036437251</v>
      </c>
      <c r="M10" s="26">
        <f t="shared" si="3"/>
        <v>24305</v>
      </c>
      <c r="N10" s="16">
        <f>I10*Franchise_OP_NP_per_uur</f>
        <v>9423.5404858299589</v>
      </c>
      <c r="O10" s="16">
        <f>IF(M10-N10&lt;0,0,M10-N10)</f>
        <v>14881.459514170041</v>
      </c>
      <c r="P10" s="17">
        <f t="shared" si="7"/>
        <v>1561.3846153846171</v>
      </c>
      <c r="Q10" s="17">
        <f t="shared" si="8"/>
        <v>441.8718461538466</v>
      </c>
      <c r="R10" s="24">
        <f>SUM($Q$3:Q10)</f>
        <v>4211.4530425101211</v>
      </c>
      <c r="S10" s="27">
        <f>(K10-K9)*Premie__VOS</f>
        <v>24.299999999999997</v>
      </c>
      <c r="T10" s="24">
        <f>SUM($S$3:S10)</f>
        <v>218.745</v>
      </c>
    </row>
    <row r="11" spans="1:21" x14ac:dyDescent="0.25">
      <c r="A11" s="13" t="s">
        <v>26</v>
      </c>
      <c r="B11" s="17">
        <v>2700</v>
      </c>
      <c r="C11" s="16">
        <f t="shared" si="4"/>
        <v>27005</v>
      </c>
      <c r="D11" s="18">
        <v>152</v>
      </c>
      <c r="E11" s="15">
        <f>SUM($D$3:D11)</f>
        <v>1410</v>
      </c>
      <c r="F11" s="14">
        <f t="shared" si="5"/>
        <v>21.666666666666668</v>
      </c>
      <c r="G11" s="15">
        <f>SUM($F$3:F11)</f>
        <v>194.99999999999997</v>
      </c>
      <c r="H11" s="14">
        <f t="shared" si="6"/>
        <v>1481.9999999999998</v>
      </c>
      <c r="I11" s="25">
        <f t="shared" si="0"/>
        <v>1410</v>
      </c>
      <c r="J11" s="15">
        <f>I11*Parameters!$B$11</f>
        <v>42603.977732793523</v>
      </c>
      <c r="K11" s="26">
        <f t="shared" si="1"/>
        <v>27005</v>
      </c>
      <c r="L11" s="16">
        <f t="shared" si="2"/>
        <v>81964.099190283392</v>
      </c>
      <c r="M11" s="26">
        <f t="shared" si="3"/>
        <v>27005</v>
      </c>
      <c r="N11" s="16">
        <f>I11*Franchise_OP_NP_per_uur</f>
        <v>10562.155870445344</v>
      </c>
      <c r="O11" s="16">
        <f>IF(M11-N11&lt;0,0,M11-N11)</f>
        <v>16442.844129554658</v>
      </c>
      <c r="P11" s="17">
        <f t="shared" si="7"/>
        <v>1561.3846153846171</v>
      </c>
      <c r="Q11" s="17">
        <f t="shared" si="8"/>
        <v>441.8718461538466</v>
      </c>
      <c r="R11" s="24">
        <f>SUM($Q$3:Q11)</f>
        <v>4653.3248886639676</v>
      </c>
      <c r="S11" s="27">
        <f>(K11-K10)*Premie__VOS</f>
        <v>24.299999999999997</v>
      </c>
      <c r="T11" s="24">
        <f>SUM($S$3:S11)</f>
        <v>243.04500000000002</v>
      </c>
    </row>
    <row r="12" spans="1:21" x14ac:dyDescent="0.25">
      <c r="A12" s="13" t="s">
        <v>27</v>
      </c>
      <c r="B12" s="17">
        <v>2700</v>
      </c>
      <c r="C12" s="16">
        <f t="shared" si="4"/>
        <v>29705</v>
      </c>
      <c r="D12" s="18">
        <v>198</v>
      </c>
      <c r="E12" s="15">
        <f>SUM($D$3:D12)</f>
        <v>1608</v>
      </c>
      <c r="F12" s="14">
        <f t="shared" si="5"/>
        <v>21.666666666666668</v>
      </c>
      <c r="G12" s="15">
        <f>SUM($F$3:F12)</f>
        <v>216.66666666666663</v>
      </c>
      <c r="H12" s="14">
        <f t="shared" si="6"/>
        <v>1646.6666666666663</v>
      </c>
      <c r="I12" s="25">
        <f t="shared" si="0"/>
        <v>1608</v>
      </c>
      <c r="J12" s="15">
        <f>I12*Parameters!$B$11</f>
        <v>48586.663967611334</v>
      </c>
      <c r="K12" s="26">
        <f t="shared" si="1"/>
        <v>29705</v>
      </c>
      <c r="L12" s="16">
        <f t="shared" si="2"/>
        <v>93473.951417004049</v>
      </c>
      <c r="M12" s="26">
        <f t="shared" si="3"/>
        <v>29705</v>
      </c>
      <c r="N12" s="16">
        <f>I12*Franchise_OP_NP_per_uur</f>
        <v>12045.352226720648</v>
      </c>
      <c r="O12" s="16">
        <f>IF(M12-N12&lt;0,0,M12-N12)</f>
        <v>17659.64777327935</v>
      </c>
      <c r="P12" s="17">
        <f t="shared" si="7"/>
        <v>1216.8036437246919</v>
      </c>
      <c r="Q12" s="17">
        <f t="shared" si="8"/>
        <v>344.35543117408781</v>
      </c>
      <c r="R12" s="24">
        <f>SUM($Q$3:Q12)</f>
        <v>4997.6803198380558</v>
      </c>
      <c r="S12" s="27">
        <f>(K12-K11)*Premie__VOS</f>
        <v>24.299999999999997</v>
      </c>
      <c r="T12" s="24">
        <f>SUM($S$3:S12)</f>
        <v>267.34500000000003</v>
      </c>
    </row>
    <row r="13" spans="1:21" x14ac:dyDescent="0.25">
      <c r="A13" s="13" t="s">
        <v>28</v>
      </c>
      <c r="B13" s="17">
        <v>2700</v>
      </c>
      <c r="C13" s="16">
        <f t="shared" si="4"/>
        <v>32405</v>
      </c>
      <c r="D13" s="18">
        <v>198</v>
      </c>
      <c r="E13" s="15">
        <f>SUM($D$3:D13)</f>
        <v>1806</v>
      </c>
      <c r="F13" s="14">
        <f t="shared" si="5"/>
        <v>21.666666666666668</v>
      </c>
      <c r="G13" s="15">
        <f>SUM($F$3:F13)</f>
        <v>238.33333333333329</v>
      </c>
      <c r="H13" s="14">
        <f t="shared" si="6"/>
        <v>1811.3333333333328</v>
      </c>
      <c r="I13" s="25">
        <f t="shared" si="0"/>
        <v>1806</v>
      </c>
      <c r="J13" s="15">
        <f>I13*Parameters!$B$11</f>
        <v>54569.350202429152</v>
      </c>
      <c r="K13" s="26">
        <f t="shared" si="1"/>
        <v>32405</v>
      </c>
      <c r="L13" s="16">
        <f t="shared" si="2"/>
        <v>104983.80364372469</v>
      </c>
      <c r="M13" s="26">
        <f t="shared" si="3"/>
        <v>32405</v>
      </c>
      <c r="N13" s="16">
        <f>I13*Franchise_OP_NP_per_uur</f>
        <v>13528.548582995953</v>
      </c>
      <c r="O13" s="16">
        <f>IF(M13-N13&lt;0,0,M13-N13)</f>
        <v>18876.451417004049</v>
      </c>
      <c r="P13" s="17">
        <f t="shared" si="7"/>
        <v>1216.8036437246992</v>
      </c>
      <c r="Q13" s="17">
        <f t="shared" si="8"/>
        <v>344.35543117408986</v>
      </c>
      <c r="R13" s="24">
        <f>SUM($Q$3:Q13)</f>
        <v>5342.0357510121457</v>
      </c>
      <c r="S13" s="27">
        <f>(K13-K12)*Premie__VOS</f>
        <v>24.299999999999997</v>
      </c>
      <c r="T13" s="24">
        <f>SUM($S$3:S13)</f>
        <v>291.64500000000004</v>
      </c>
    </row>
    <row r="14" spans="1:21" x14ac:dyDescent="0.25">
      <c r="A14" s="13" t="s">
        <v>29</v>
      </c>
      <c r="B14" s="17">
        <v>5000</v>
      </c>
      <c r="C14" s="16">
        <f t="shared" si="4"/>
        <v>37405</v>
      </c>
      <c r="D14" s="18">
        <v>198</v>
      </c>
      <c r="E14" s="15">
        <f>SUM($D$3:D14)</f>
        <v>2004</v>
      </c>
      <c r="F14" s="14">
        <f t="shared" si="5"/>
        <v>21.666666666666668</v>
      </c>
      <c r="G14" s="15">
        <f>SUM($F$3:F14)</f>
        <v>259.99999999999994</v>
      </c>
      <c r="H14" s="14">
        <f t="shared" si="6"/>
        <v>1975.9999999999995</v>
      </c>
      <c r="I14" s="25">
        <f t="shared" si="0"/>
        <v>1975.9999999999995</v>
      </c>
      <c r="J14" s="15">
        <f>I14*Parameters!$B$11</f>
        <v>59705.999999999985</v>
      </c>
      <c r="K14" s="26">
        <f t="shared" si="1"/>
        <v>37405</v>
      </c>
      <c r="L14" s="16">
        <f t="shared" si="2"/>
        <v>114865.99999999997</v>
      </c>
      <c r="M14" s="26">
        <f t="shared" si="3"/>
        <v>37405</v>
      </c>
      <c r="N14" s="16">
        <f>I14*Franchise_OP_NP_per_uur</f>
        <v>14801.999999999996</v>
      </c>
      <c r="O14" s="16">
        <f>IF(M14-N14&lt;0,0,M14-N14)</f>
        <v>22603.000000000004</v>
      </c>
      <c r="P14" s="17">
        <f t="shared" si="7"/>
        <v>3726.5485829959543</v>
      </c>
      <c r="Q14" s="17">
        <f t="shared" si="8"/>
        <v>1054.6132489878551</v>
      </c>
      <c r="R14" s="24">
        <f>SUM($Q$3:Q14)</f>
        <v>6396.6490000000013</v>
      </c>
      <c r="S14" s="27">
        <f>(K14-K13)*Premie__VOS</f>
        <v>45</v>
      </c>
      <c r="T14" s="24">
        <f>SUM($S$3:S14)</f>
        <v>336.64500000000004</v>
      </c>
    </row>
    <row r="15" spans="1:21" x14ac:dyDescent="0.25">
      <c r="R15" s="3"/>
    </row>
    <row r="16" spans="1:21" s="3" customFormat="1" x14ac:dyDescent="0.25">
      <c r="Q16" s="22"/>
    </row>
    <row r="17" spans="1:20" s="3" customFormat="1" x14ac:dyDescent="0.25">
      <c r="A17" s="3" t="s">
        <v>41</v>
      </c>
      <c r="B17" s="3" t="s">
        <v>49</v>
      </c>
      <c r="Q17" s="22"/>
    </row>
    <row r="18" spans="1:20" s="20" customFormat="1" ht="51.75" x14ac:dyDescent="0.25">
      <c r="A18" s="19" t="s">
        <v>17</v>
      </c>
      <c r="B18" s="19" t="s">
        <v>0</v>
      </c>
      <c r="C18" s="19" t="s">
        <v>30</v>
      </c>
      <c r="D18" s="19" t="s">
        <v>1</v>
      </c>
      <c r="E18" s="19" t="s">
        <v>32</v>
      </c>
      <c r="F18" s="19" t="s">
        <v>2</v>
      </c>
      <c r="G18" s="19" t="s">
        <v>31</v>
      </c>
      <c r="H18" s="19" t="s">
        <v>37</v>
      </c>
      <c r="I18" s="19" t="s">
        <v>54</v>
      </c>
      <c r="J18" s="19" t="s">
        <v>40</v>
      </c>
      <c r="K18" s="19" t="s">
        <v>36</v>
      </c>
      <c r="L18" s="19" t="s">
        <v>39</v>
      </c>
      <c r="M18" s="19" t="s">
        <v>35</v>
      </c>
      <c r="N18" s="19" t="s">
        <v>33</v>
      </c>
      <c r="O18" s="19" t="s">
        <v>34</v>
      </c>
      <c r="P18" s="19" t="s">
        <v>47</v>
      </c>
      <c r="Q18" s="23" t="s">
        <v>43</v>
      </c>
      <c r="R18" s="19" t="s">
        <v>44</v>
      </c>
      <c r="S18" s="23" t="s">
        <v>45</v>
      </c>
      <c r="T18" s="19" t="s">
        <v>46</v>
      </c>
    </row>
    <row r="19" spans="1:20" s="3" customFormat="1" x14ac:dyDescent="0.25">
      <c r="A19" s="13" t="s">
        <v>18</v>
      </c>
      <c r="B19" s="17">
        <v>9000</v>
      </c>
      <c r="C19" s="16">
        <f>B19</f>
        <v>9000</v>
      </c>
      <c r="D19" s="18">
        <v>198</v>
      </c>
      <c r="E19" s="15">
        <f>SUM($D$19:D19)</f>
        <v>198</v>
      </c>
      <c r="F19" s="14">
        <f t="shared" ref="F19:F30" si="9">Aantal_SV_dagen_in_het_jaar/12</f>
        <v>21.666666666666668</v>
      </c>
      <c r="G19" s="15">
        <f>SUM($F$19:F19)</f>
        <v>21.666666666666668</v>
      </c>
      <c r="H19" s="14">
        <f>G19*7.6</f>
        <v>164.66666666666666</v>
      </c>
      <c r="I19" s="25">
        <f t="shared" ref="I19:I30" si="10">MIN(H19,E19)</f>
        <v>164.66666666666666</v>
      </c>
      <c r="J19" s="15">
        <f>I19*Parameters!$B$11</f>
        <v>4975.5</v>
      </c>
      <c r="K19" s="26">
        <f t="shared" ref="K19:K30" si="11">MIN(J19,C19)</f>
        <v>4975.5</v>
      </c>
      <c r="L19" s="16">
        <f t="shared" ref="L19:L30" si="12">I19*Max_pensioengev_salaris_per_uur_OP_NP</f>
        <v>9572.1666666666661</v>
      </c>
      <c r="M19" s="26">
        <f t="shared" ref="M19:M30" si="13">MIN(L19,C19)</f>
        <v>9000</v>
      </c>
      <c r="N19" s="16">
        <f>I19*Franchise_OP_NP_per_uur</f>
        <v>1233.5</v>
      </c>
      <c r="O19" s="16">
        <f>IF(M19-N19&lt;0,0,M19-N19)</f>
        <v>7766.5</v>
      </c>
      <c r="P19" s="17">
        <f>O19</f>
        <v>7766.5</v>
      </c>
      <c r="Q19" s="17">
        <f>O19*Premie___OP_NP</f>
        <v>2197.9195</v>
      </c>
      <c r="R19" s="24">
        <f>SUM($Q$19:Q19)</f>
        <v>2197.9195</v>
      </c>
      <c r="S19" s="27">
        <f>K19*Premie__VOS</f>
        <v>44.779499999999999</v>
      </c>
      <c r="T19" s="24">
        <f>SUM($S$19:S19)</f>
        <v>44.779499999999999</v>
      </c>
    </row>
    <row r="20" spans="1:20" s="3" customFormat="1" x14ac:dyDescent="0.25">
      <c r="A20" s="13" t="s">
        <v>19</v>
      </c>
      <c r="B20" s="17">
        <v>9000</v>
      </c>
      <c r="C20" s="16">
        <f t="shared" ref="C20:C30" si="14">C19+B20</f>
        <v>18000</v>
      </c>
      <c r="D20" s="18">
        <v>140</v>
      </c>
      <c r="E20" s="15">
        <f>SUM($D$19:D20)</f>
        <v>338</v>
      </c>
      <c r="F20" s="14">
        <f t="shared" si="9"/>
        <v>21.666666666666668</v>
      </c>
      <c r="G20" s="15">
        <f>SUM($F$19:F20)</f>
        <v>43.333333333333336</v>
      </c>
      <c r="H20" s="14">
        <f t="shared" ref="H20:H30" si="15">G20*7.6</f>
        <v>329.33333333333331</v>
      </c>
      <c r="I20" s="25">
        <f t="shared" si="10"/>
        <v>329.33333333333331</v>
      </c>
      <c r="J20" s="15">
        <f>I20*Parameters!$B$11</f>
        <v>9951</v>
      </c>
      <c r="K20" s="26">
        <f t="shared" si="11"/>
        <v>9951</v>
      </c>
      <c r="L20" s="16">
        <f t="shared" si="12"/>
        <v>19144.333333333332</v>
      </c>
      <c r="M20" s="26">
        <f t="shared" si="13"/>
        <v>18000</v>
      </c>
      <c r="N20" s="16">
        <f>I20*Franchise_OP_NP_per_uur</f>
        <v>2467</v>
      </c>
      <c r="O20" s="16">
        <f>IF(M20-N20&lt;0,0,M20-N20)</f>
        <v>15533</v>
      </c>
      <c r="P20" s="17">
        <f>O20-O19</f>
        <v>7766.5</v>
      </c>
      <c r="Q20" s="17">
        <f t="shared" ref="Q20:Q30" si="16">(O20-O19)*Premie___OP_NP</f>
        <v>2197.9195</v>
      </c>
      <c r="R20" s="24">
        <f>SUM($Q$19:Q20)</f>
        <v>4395.8389999999999</v>
      </c>
      <c r="S20" s="27">
        <f>(K20-K19)*Premie__VOS</f>
        <v>44.779499999999999</v>
      </c>
      <c r="T20" s="24">
        <f>SUM($S$19:S20)</f>
        <v>89.558999999999997</v>
      </c>
    </row>
    <row r="21" spans="1:20" s="3" customFormat="1" x14ac:dyDescent="0.25">
      <c r="A21" s="13" t="s">
        <v>20</v>
      </c>
      <c r="B21" s="17">
        <v>9000</v>
      </c>
      <c r="C21" s="16">
        <f t="shared" si="14"/>
        <v>27000</v>
      </c>
      <c r="D21" s="18">
        <v>155</v>
      </c>
      <c r="E21" s="15">
        <f>SUM($D$19:D21)</f>
        <v>493</v>
      </c>
      <c r="F21" s="14">
        <f t="shared" si="9"/>
        <v>21.666666666666668</v>
      </c>
      <c r="G21" s="15">
        <f>SUM($F$19:F21)</f>
        <v>65</v>
      </c>
      <c r="H21" s="14">
        <f t="shared" si="15"/>
        <v>494</v>
      </c>
      <c r="I21" s="25">
        <f t="shared" si="10"/>
        <v>493</v>
      </c>
      <c r="J21" s="15">
        <f>I21*Parameters!$B$11</f>
        <v>14896.284412955465</v>
      </c>
      <c r="K21" s="26">
        <f t="shared" si="11"/>
        <v>14896.284412955465</v>
      </c>
      <c r="L21" s="16">
        <f t="shared" si="12"/>
        <v>28658.369433198379</v>
      </c>
      <c r="M21" s="26">
        <f t="shared" si="13"/>
        <v>27000</v>
      </c>
      <c r="N21" s="16">
        <f>I21*Franchise_OP_NP_per_uur</f>
        <v>3693.0091093117412</v>
      </c>
      <c r="O21" s="16">
        <f>IF(M21-N21&lt;0,0,M21-N21)</f>
        <v>23306.990890688259</v>
      </c>
      <c r="P21" s="17">
        <f t="shared" ref="P21:P30" si="17">O21-O20</f>
        <v>7773.9908906882592</v>
      </c>
      <c r="Q21" s="17">
        <f t="shared" si="16"/>
        <v>2200.0394220647772</v>
      </c>
      <c r="R21" s="24">
        <f>SUM($Q$19:Q21)</f>
        <v>6595.8784220647776</v>
      </c>
      <c r="S21" s="27">
        <f>(K21-K20)*Premie__VOS</f>
        <v>44.507559716599182</v>
      </c>
      <c r="T21" s="24">
        <f>SUM($S$19:S21)</f>
        <v>134.06655971659919</v>
      </c>
    </row>
    <row r="22" spans="1:20" s="3" customFormat="1" x14ac:dyDescent="0.25">
      <c r="A22" s="13" t="s">
        <v>21</v>
      </c>
      <c r="B22" s="17">
        <v>9000</v>
      </c>
      <c r="C22" s="16">
        <f t="shared" si="14"/>
        <v>36000</v>
      </c>
      <c r="D22" s="18">
        <v>220</v>
      </c>
      <c r="E22" s="15">
        <f>SUM($D$19:D22)</f>
        <v>713</v>
      </c>
      <c r="F22" s="14">
        <f t="shared" si="9"/>
        <v>21.666666666666668</v>
      </c>
      <c r="G22" s="15">
        <f>SUM($F$19:F22)</f>
        <v>86.666666666666671</v>
      </c>
      <c r="H22" s="14">
        <f t="shared" si="15"/>
        <v>658.66666666666663</v>
      </c>
      <c r="I22" s="25">
        <f t="shared" si="10"/>
        <v>658.66666666666663</v>
      </c>
      <c r="J22" s="15">
        <f>I22*Parameters!$B$11</f>
        <v>19902</v>
      </c>
      <c r="K22" s="26">
        <f t="shared" si="11"/>
        <v>19902</v>
      </c>
      <c r="L22" s="16">
        <f t="shared" si="12"/>
        <v>38288.666666666664</v>
      </c>
      <c r="M22" s="26">
        <f t="shared" si="13"/>
        <v>36000</v>
      </c>
      <c r="N22" s="16">
        <f>I22*Franchise_OP_NP_per_uur</f>
        <v>4934</v>
      </c>
      <c r="O22" s="16">
        <f>IF(M22-N22&lt;0,0,M22-N22)</f>
        <v>31066</v>
      </c>
      <c r="P22" s="17">
        <f t="shared" si="17"/>
        <v>7759.0091093117408</v>
      </c>
      <c r="Q22" s="17">
        <f t="shared" si="16"/>
        <v>2195.7995779352223</v>
      </c>
      <c r="R22" s="24">
        <f>SUM($Q$19:Q22)</f>
        <v>8791.6779999999999</v>
      </c>
      <c r="S22" s="27">
        <f>(K22-K21)*Premie__VOS</f>
        <v>45.051440283400808</v>
      </c>
      <c r="T22" s="24">
        <f>SUM($S$19:S22)</f>
        <v>179.11799999999999</v>
      </c>
    </row>
    <row r="23" spans="1:20" s="3" customFormat="1" x14ac:dyDescent="0.25">
      <c r="A23" s="13" t="s">
        <v>22</v>
      </c>
      <c r="B23" s="17">
        <v>18000</v>
      </c>
      <c r="C23" s="16">
        <f t="shared" si="14"/>
        <v>54000</v>
      </c>
      <c r="D23" s="18">
        <v>80</v>
      </c>
      <c r="E23" s="15">
        <f>SUM($D$19:D23)</f>
        <v>793</v>
      </c>
      <c r="F23" s="14">
        <f t="shared" si="9"/>
        <v>21.666666666666668</v>
      </c>
      <c r="G23" s="15">
        <f>SUM($F$19:F23)</f>
        <v>108.33333333333334</v>
      </c>
      <c r="H23" s="14">
        <f t="shared" si="15"/>
        <v>823.33333333333337</v>
      </c>
      <c r="I23" s="25">
        <f t="shared" si="10"/>
        <v>793</v>
      </c>
      <c r="J23" s="15">
        <f>I23*Parameters!$B$11</f>
        <v>23960.96052631579</v>
      </c>
      <c r="K23" s="26">
        <f t="shared" si="11"/>
        <v>23960.96052631579</v>
      </c>
      <c r="L23" s="16">
        <f t="shared" si="12"/>
        <v>46097.539473684206</v>
      </c>
      <c r="M23" s="26">
        <f t="shared" si="13"/>
        <v>46097.539473684206</v>
      </c>
      <c r="N23" s="16">
        <f>I23*Franchise_OP_NP_per_uur</f>
        <v>5940.2763157894742</v>
      </c>
      <c r="O23" s="16">
        <f>IF(M23-N23&lt;0,0,M23-N23)</f>
        <v>40157.263157894733</v>
      </c>
      <c r="P23" s="17">
        <f t="shared" si="17"/>
        <v>9091.263157894733</v>
      </c>
      <c r="Q23" s="17">
        <f t="shared" si="16"/>
        <v>2572.8274736842091</v>
      </c>
      <c r="R23" s="24">
        <f>SUM($Q$19:Q23)</f>
        <v>11364.505473684208</v>
      </c>
      <c r="S23" s="27">
        <f>(K23-K22)*Premie__VOS</f>
        <v>36.530644736842106</v>
      </c>
      <c r="T23" s="24">
        <f>SUM($S$19:S23)</f>
        <v>215.6486447368421</v>
      </c>
    </row>
    <row r="24" spans="1:20" s="3" customFormat="1" x14ac:dyDescent="0.25">
      <c r="A24" s="13" t="s">
        <v>23</v>
      </c>
      <c r="B24" s="17">
        <v>9000</v>
      </c>
      <c r="C24" s="16">
        <f t="shared" si="14"/>
        <v>63000</v>
      </c>
      <c r="D24" s="18">
        <v>161</v>
      </c>
      <c r="E24" s="15">
        <f>SUM($D$19:D24)</f>
        <v>954</v>
      </c>
      <c r="F24" s="14">
        <f t="shared" si="9"/>
        <v>21.666666666666668</v>
      </c>
      <c r="G24" s="15">
        <f>SUM($F$19:F24)</f>
        <v>130</v>
      </c>
      <c r="H24" s="14">
        <f t="shared" si="15"/>
        <v>988</v>
      </c>
      <c r="I24" s="25">
        <f t="shared" si="10"/>
        <v>954</v>
      </c>
      <c r="J24" s="15">
        <f>I24*Parameters!$B$11</f>
        <v>28825.670040485831</v>
      </c>
      <c r="K24" s="26">
        <f t="shared" si="11"/>
        <v>28825.670040485831</v>
      </c>
      <c r="L24" s="16">
        <f t="shared" si="12"/>
        <v>55456.560728744938</v>
      </c>
      <c r="M24" s="26">
        <f t="shared" si="13"/>
        <v>55456.560728744938</v>
      </c>
      <c r="N24" s="16">
        <f>I24*Franchise_OP_NP_per_uur</f>
        <v>7146.3097165991903</v>
      </c>
      <c r="O24" s="16">
        <f>IF(M24-N24&lt;0,0,M24-N24)</f>
        <v>48310.251012145745</v>
      </c>
      <c r="P24" s="17">
        <f t="shared" si="17"/>
        <v>8152.9878542510123</v>
      </c>
      <c r="Q24" s="17">
        <f t="shared" si="16"/>
        <v>2307.2955627530364</v>
      </c>
      <c r="R24" s="24">
        <f>SUM($Q$19:Q24)</f>
        <v>13671.801036437246</v>
      </c>
      <c r="S24" s="27">
        <f>(K24-K23)*Premie__VOS</f>
        <v>43.782385627530367</v>
      </c>
      <c r="T24" s="24">
        <f>SUM($S$19:S24)</f>
        <v>259.43103036437248</v>
      </c>
    </row>
    <row r="25" spans="1:20" s="3" customFormat="1" x14ac:dyDescent="0.25">
      <c r="A25" s="13" t="s">
        <v>24</v>
      </c>
      <c r="B25" s="17">
        <v>9000</v>
      </c>
      <c r="C25" s="16">
        <f t="shared" si="14"/>
        <v>72000</v>
      </c>
      <c r="D25" s="18">
        <v>152</v>
      </c>
      <c r="E25" s="15">
        <f>SUM($D$19:D25)</f>
        <v>1106</v>
      </c>
      <c r="F25" s="14">
        <f t="shared" si="9"/>
        <v>21.666666666666668</v>
      </c>
      <c r="G25" s="15">
        <f>SUM($F$19:F25)</f>
        <v>151.66666666666666</v>
      </c>
      <c r="H25" s="14">
        <f t="shared" si="15"/>
        <v>1152.6666666666665</v>
      </c>
      <c r="I25" s="25">
        <f t="shared" si="10"/>
        <v>1106</v>
      </c>
      <c r="J25" s="15">
        <f>I25*Parameters!$B$11</f>
        <v>33418.439271255062</v>
      </c>
      <c r="K25" s="26">
        <f t="shared" si="11"/>
        <v>33418.439271255062</v>
      </c>
      <c r="L25" s="16">
        <f t="shared" si="12"/>
        <v>64292.406882591087</v>
      </c>
      <c r="M25" s="26">
        <f t="shared" si="13"/>
        <v>64292.406882591087</v>
      </c>
      <c r="N25" s="16">
        <f>I25*Franchise_OP_NP_per_uur</f>
        <v>8284.925101214576</v>
      </c>
      <c r="O25" s="16">
        <f>IF(M25-N25&lt;0,0,M25-N25)</f>
        <v>56007.481781376511</v>
      </c>
      <c r="P25" s="17">
        <f t="shared" si="17"/>
        <v>7697.2307692307659</v>
      </c>
      <c r="Q25" s="17">
        <f t="shared" si="16"/>
        <v>2178.3163076923065</v>
      </c>
      <c r="R25" s="24">
        <f>SUM($Q$19:Q25)</f>
        <v>15850.117344129552</v>
      </c>
      <c r="S25" s="27">
        <f>(K25-K24)*Premie__VOS</f>
        <v>41.334923076923069</v>
      </c>
      <c r="T25" s="24">
        <f>SUM($S$19:S25)</f>
        <v>300.76595344129555</v>
      </c>
    </row>
    <row r="26" spans="1:20" s="3" customFormat="1" x14ac:dyDescent="0.25">
      <c r="A26" s="13" t="s">
        <v>25</v>
      </c>
      <c r="B26" s="17">
        <v>9000</v>
      </c>
      <c r="C26" s="16">
        <f t="shared" si="14"/>
        <v>81000</v>
      </c>
      <c r="D26" s="18">
        <v>152</v>
      </c>
      <c r="E26" s="15">
        <f>SUM($D$19:D26)</f>
        <v>1258</v>
      </c>
      <c r="F26" s="14">
        <f t="shared" si="9"/>
        <v>21.666666666666668</v>
      </c>
      <c r="G26" s="15">
        <f>SUM($F$19:F26)</f>
        <v>173.33333333333331</v>
      </c>
      <c r="H26" s="14">
        <f t="shared" si="15"/>
        <v>1317.333333333333</v>
      </c>
      <c r="I26" s="25">
        <f t="shared" si="10"/>
        <v>1258</v>
      </c>
      <c r="J26" s="15">
        <f>I26*Parameters!$B$11</f>
        <v>38011.208502024288</v>
      </c>
      <c r="K26" s="26">
        <f t="shared" si="11"/>
        <v>38011.208502024288</v>
      </c>
      <c r="L26" s="16">
        <f t="shared" si="12"/>
        <v>73128.253036437251</v>
      </c>
      <c r="M26" s="26">
        <f t="shared" si="13"/>
        <v>73128.253036437251</v>
      </c>
      <c r="N26" s="16">
        <f>I26*Franchise_OP_NP_per_uur</f>
        <v>9423.5404858299589</v>
      </c>
      <c r="O26" s="16">
        <f>IF(M26-N26&lt;0,0,M26-N26)</f>
        <v>63704.712550607292</v>
      </c>
      <c r="P26" s="17">
        <f t="shared" si="17"/>
        <v>7697.2307692307804</v>
      </c>
      <c r="Q26" s="17">
        <f t="shared" si="16"/>
        <v>2178.3163076923106</v>
      </c>
      <c r="R26" s="24">
        <f>SUM($Q$19:Q26)</f>
        <v>18028.433651821862</v>
      </c>
      <c r="S26" s="27">
        <f>(K26-K25)*Premie__VOS</f>
        <v>41.33492307692304</v>
      </c>
      <c r="T26" s="24">
        <f>SUM($S$19:S26)</f>
        <v>342.10087651821857</v>
      </c>
    </row>
    <row r="27" spans="1:20" s="3" customFormat="1" x14ac:dyDescent="0.25">
      <c r="A27" s="13" t="s">
        <v>26</v>
      </c>
      <c r="B27" s="17">
        <v>9000</v>
      </c>
      <c r="C27" s="16">
        <f t="shared" si="14"/>
        <v>90000</v>
      </c>
      <c r="D27" s="18">
        <v>152</v>
      </c>
      <c r="E27" s="15">
        <f>SUM($D$19:D27)</f>
        <v>1410</v>
      </c>
      <c r="F27" s="14">
        <f t="shared" si="9"/>
        <v>21.666666666666668</v>
      </c>
      <c r="G27" s="15">
        <f>SUM($F$19:F27)</f>
        <v>194.99999999999997</v>
      </c>
      <c r="H27" s="14">
        <f t="shared" si="15"/>
        <v>1481.9999999999998</v>
      </c>
      <c r="I27" s="25">
        <f t="shared" si="10"/>
        <v>1410</v>
      </c>
      <c r="J27" s="15">
        <f>I27*Parameters!$B$11</f>
        <v>42603.977732793523</v>
      </c>
      <c r="K27" s="26">
        <f t="shared" si="11"/>
        <v>42603.977732793523</v>
      </c>
      <c r="L27" s="16">
        <f t="shared" si="12"/>
        <v>81964.099190283392</v>
      </c>
      <c r="M27" s="26">
        <f t="shared" si="13"/>
        <v>81964.099190283392</v>
      </c>
      <c r="N27" s="16">
        <f>I27*Franchise_OP_NP_per_uur</f>
        <v>10562.155870445344</v>
      </c>
      <c r="O27" s="16">
        <f>IF(M27-N27&lt;0,0,M27-N27)</f>
        <v>71401.943319838043</v>
      </c>
      <c r="P27" s="17">
        <f t="shared" si="17"/>
        <v>7697.2307692307513</v>
      </c>
      <c r="Q27" s="17">
        <f t="shared" si="16"/>
        <v>2178.3163076923024</v>
      </c>
      <c r="R27" s="24">
        <f>SUM($Q$19:Q27)</f>
        <v>20206.749959514163</v>
      </c>
      <c r="S27" s="27">
        <f>(K27-K26)*Premie__VOS</f>
        <v>41.334923076923104</v>
      </c>
      <c r="T27" s="24">
        <f>SUM($S$19:S27)</f>
        <v>383.4357995951417</v>
      </c>
    </row>
    <row r="28" spans="1:20" s="3" customFormat="1" x14ac:dyDescent="0.25">
      <c r="A28" s="13" t="s">
        <v>27</v>
      </c>
      <c r="B28" s="17">
        <v>9000</v>
      </c>
      <c r="C28" s="16">
        <f t="shared" si="14"/>
        <v>99000</v>
      </c>
      <c r="D28" s="18">
        <v>198</v>
      </c>
      <c r="E28" s="15">
        <f>SUM($D$19:D28)</f>
        <v>1608</v>
      </c>
      <c r="F28" s="14">
        <f t="shared" si="9"/>
        <v>21.666666666666668</v>
      </c>
      <c r="G28" s="15">
        <f>SUM($F$19:F28)</f>
        <v>216.66666666666663</v>
      </c>
      <c r="H28" s="14">
        <f t="shared" si="15"/>
        <v>1646.6666666666663</v>
      </c>
      <c r="I28" s="25">
        <f t="shared" si="10"/>
        <v>1608</v>
      </c>
      <c r="J28" s="15">
        <f>I28*Parameters!$B$11</f>
        <v>48586.663967611334</v>
      </c>
      <c r="K28" s="26">
        <f t="shared" si="11"/>
        <v>48586.663967611334</v>
      </c>
      <c r="L28" s="16">
        <f t="shared" si="12"/>
        <v>93473.951417004049</v>
      </c>
      <c r="M28" s="26">
        <f t="shared" si="13"/>
        <v>93473.951417004049</v>
      </c>
      <c r="N28" s="16">
        <f>I28*Franchise_OP_NP_per_uur</f>
        <v>12045.352226720648</v>
      </c>
      <c r="O28" s="16">
        <f>IF(M28-N28&lt;0,0,M28-N28)</f>
        <v>81428.599190283407</v>
      </c>
      <c r="P28" s="17">
        <f t="shared" si="17"/>
        <v>10026.655870445364</v>
      </c>
      <c r="Q28" s="17">
        <f t="shared" si="16"/>
        <v>2837.5436113360379</v>
      </c>
      <c r="R28" s="24">
        <f>SUM($Q$19:Q28)</f>
        <v>23044.293570850201</v>
      </c>
      <c r="S28" s="27">
        <f>(K28-K27)*Premie__VOS</f>
        <v>53.844176113360298</v>
      </c>
      <c r="T28" s="24">
        <f>SUM($S$19:S28)</f>
        <v>437.27997570850198</v>
      </c>
    </row>
    <row r="29" spans="1:20" x14ac:dyDescent="0.25">
      <c r="A29" s="13" t="s">
        <v>28</v>
      </c>
      <c r="B29" s="17">
        <v>9000</v>
      </c>
      <c r="C29" s="16">
        <f t="shared" si="14"/>
        <v>108000</v>
      </c>
      <c r="D29" s="18">
        <v>198</v>
      </c>
      <c r="E29" s="15">
        <f>SUM($D$19:D29)</f>
        <v>1806</v>
      </c>
      <c r="F29" s="14">
        <f t="shared" si="9"/>
        <v>21.666666666666668</v>
      </c>
      <c r="G29" s="15">
        <f>SUM($F$19:F29)</f>
        <v>238.33333333333329</v>
      </c>
      <c r="H29" s="14">
        <f t="shared" si="15"/>
        <v>1811.3333333333328</v>
      </c>
      <c r="I29" s="25">
        <f t="shared" si="10"/>
        <v>1806</v>
      </c>
      <c r="J29" s="15">
        <f>I29*Parameters!$B$11</f>
        <v>54569.350202429152</v>
      </c>
      <c r="K29" s="26">
        <f t="shared" si="11"/>
        <v>54569.350202429152</v>
      </c>
      <c r="L29" s="16">
        <f t="shared" si="12"/>
        <v>104983.80364372469</v>
      </c>
      <c r="M29" s="26">
        <f t="shared" si="13"/>
        <v>104983.80364372469</v>
      </c>
      <c r="N29" s="16">
        <f>I29*Franchise_OP_NP_per_uur</f>
        <v>13528.548582995953</v>
      </c>
      <c r="O29" s="16">
        <f>IF(M29-N29&lt;0,0,M29-N29)</f>
        <v>91455.255060728741</v>
      </c>
      <c r="P29" s="17">
        <f t="shared" si="17"/>
        <v>10026.655870445335</v>
      </c>
      <c r="Q29" s="17">
        <f t="shared" si="16"/>
        <v>2837.5436113360292</v>
      </c>
      <c r="R29" s="24">
        <f>SUM($Q$19:Q29)</f>
        <v>25881.837182186231</v>
      </c>
      <c r="S29" s="27">
        <f>(K29-K28)*Premie__VOS</f>
        <v>53.844176113360362</v>
      </c>
      <c r="T29" s="24">
        <f>SUM($S$19:S29)</f>
        <v>491.12415182186237</v>
      </c>
    </row>
    <row r="30" spans="1:20" x14ac:dyDescent="0.25">
      <c r="A30" s="13" t="s">
        <v>29</v>
      </c>
      <c r="B30" s="17">
        <v>9000</v>
      </c>
      <c r="C30" s="16">
        <f t="shared" si="14"/>
        <v>117000</v>
      </c>
      <c r="D30" s="18">
        <v>198</v>
      </c>
      <c r="E30" s="15">
        <f>SUM($D$19:D30)</f>
        <v>2004</v>
      </c>
      <c r="F30" s="14">
        <f t="shared" si="9"/>
        <v>21.666666666666668</v>
      </c>
      <c r="G30" s="15">
        <f>SUM($F$19:F30)</f>
        <v>259.99999999999994</v>
      </c>
      <c r="H30" s="14">
        <f t="shared" si="15"/>
        <v>1975.9999999999995</v>
      </c>
      <c r="I30" s="25">
        <f t="shared" si="10"/>
        <v>1975.9999999999995</v>
      </c>
      <c r="J30" s="15">
        <f>I30*Parameters!$B$11</f>
        <v>59705.999999999985</v>
      </c>
      <c r="K30" s="26">
        <f t="shared" si="11"/>
        <v>59705.999999999985</v>
      </c>
      <c r="L30" s="16">
        <f t="shared" si="12"/>
        <v>114865.99999999997</v>
      </c>
      <c r="M30" s="26">
        <f t="shared" si="13"/>
        <v>114865.99999999997</v>
      </c>
      <c r="N30" s="16">
        <f>I30*Franchise_OP_NP_per_uur</f>
        <v>14801.999999999996</v>
      </c>
      <c r="O30" s="16">
        <f>IF(M30-N30&lt;0,0,M30-N30)</f>
        <v>100063.99999999997</v>
      </c>
      <c r="P30" s="17">
        <f t="shared" si="17"/>
        <v>8608.7449392712297</v>
      </c>
      <c r="Q30" s="17">
        <f t="shared" si="16"/>
        <v>2436.2748178137576</v>
      </c>
      <c r="R30" s="24">
        <f>SUM($Q$19:Q30)</f>
        <v>28318.11199999999</v>
      </c>
      <c r="S30" s="27">
        <f>(K30-K29)*Premie__VOS</f>
        <v>46.229848178137495</v>
      </c>
      <c r="T30" s="24">
        <f>SUM($S$19:S30)</f>
        <v>537.35399999999981</v>
      </c>
    </row>
    <row r="32" spans="1:20" s="3" customFormat="1" x14ac:dyDescent="0.25">
      <c r="Q32" s="22"/>
    </row>
    <row r="33" spans="1:20" s="3" customFormat="1" x14ac:dyDescent="0.25">
      <c r="A33" s="3" t="s">
        <v>42</v>
      </c>
      <c r="Q33" s="22"/>
    </row>
    <row r="34" spans="1:20" s="20" customFormat="1" ht="51.75" x14ac:dyDescent="0.25">
      <c r="A34" s="19" t="s">
        <v>17</v>
      </c>
      <c r="B34" s="19" t="s">
        <v>0</v>
      </c>
      <c r="C34" s="19" t="s">
        <v>30</v>
      </c>
      <c r="D34" s="19" t="s">
        <v>1</v>
      </c>
      <c r="E34" s="19" t="s">
        <v>32</v>
      </c>
      <c r="F34" s="19" t="s">
        <v>2</v>
      </c>
      <c r="G34" s="19" t="s">
        <v>31</v>
      </c>
      <c r="H34" s="19" t="s">
        <v>37</v>
      </c>
      <c r="I34" s="19" t="s">
        <v>38</v>
      </c>
      <c r="J34" s="19" t="s">
        <v>40</v>
      </c>
      <c r="K34" s="19" t="s">
        <v>36</v>
      </c>
      <c r="L34" s="19" t="s">
        <v>39</v>
      </c>
      <c r="M34" s="19" t="s">
        <v>35</v>
      </c>
      <c r="N34" s="19" t="s">
        <v>33</v>
      </c>
      <c r="O34" s="19" t="s">
        <v>34</v>
      </c>
      <c r="P34" s="19" t="s">
        <v>47</v>
      </c>
      <c r="Q34" s="23" t="s">
        <v>43</v>
      </c>
      <c r="R34" s="19" t="s">
        <v>44</v>
      </c>
      <c r="S34" s="23" t="s">
        <v>45</v>
      </c>
      <c r="T34" s="19" t="s">
        <v>46</v>
      </c>
    </row>
    <row r="35" spans="1:20" x14ac:dyDescent="0.25">
      <c r="A35" s="13" t="s">
        <v>18</v>
      </c>
      <c r="B35" s="17">
        <v>1300</v>
      </c>
      <c r="C35" s="16">
        <f>B35</f>
        <v>1300</v>
      </c>
      <c r="D35" s="18">
        <v>110</v>
      </c>
      <c r="E35" s="15">
        <f>SUM($D$35:D35)</f>
        <v>110</v>
      </c>
      <c r="F35" s="14">
        <f t="shared" ref="F35:F46" si="18">Aantal_SV_dagen_in_het_jaar/12</f>
        <v>21.666666666666668</v>
      </c>
      <c r="G35" s="15">
        <f>SUM($F$35:F35)</f>
        <v>21.666666666666668</v>
      </c>
      <c r="H35" s="14">
        <f>G35*7.6</f>
        <v>164.66666666666666</v>
      </c>
      <c r="I35" s="25">
        <f t="shared" ref="I35:I46" si="19">MIN(H35,E35)</f>
        <v>110</v>
      </c>
      <c r="J35" s="15">
        <f>I35*Parameters!$B$11</f>
        <v>3323.7145748987855</v>
      </c>
      <c r="K35" s="26">
        <f t="shared" ref="K35:K46" si="20">MIN(J35,C35)</f>
        <v>1300</v>
      </c>
      <c r="L35" s="16">
        <f t="shared" ref="L35:L46" si="21">I35*Max_pensioengev_salaris_per_uur_OP_NP</f>
        <v>6394.3623481781369</v>
      </c>
      <c r="M35" s="26">
        <f t="shared" ref="M35:M46" si="22">MIN(L35,C35)</f>
        <v>1300</v>
      </c>
      <c r="N35" s="16">
        <f>I35*Franchise_OP_NP_per_uur</f>
        <v>823.99797570850205</v>
      </c>
      <c r="O35" s="16">
        <f>IF(M35-N35&lt;0,0,M35-N35)</f>
        <v>476.00202429149795</v>
      </c>
      <c r="P35" s="17">
        <f>O35</f>
        <v>476.00202429149795</v>
      </c>
      <c r="Q35" s="17">
        <f>O35*Premie___OP_NP</f>
        <v>134.70857287449391</v>
      </c>
      <c r="R35" s="24">
        <f>SUM($Q$35:Q35)</f>
        <v>134.70857287449391</v>
      </c>
      <c r="S35" s="27">
        <f>K35*Premie__VOS</f>
        <v>11.7</v>
      </c>
      <c r="T35" s="24">
        <f>SUM($S$35:S35)</f>
        <v>11.7</v>
      </c>
    </row>
    <row r="36" spans="1:20" x14ac:dyDescent="0.25">
      <c r="A36" s="13" t="s">
        <v>19</v>
      </c>
      <c r="B36" s="17">
        <v>1200</v>
      </c>
      <c r="C36" s="16">
        <f t="shared" ref="C36:C46" si="23">C35+B36</f>
        <v>2500</v>
      </c>
      <c r="D36" s="18">
        <v>90</v>
      </c>
      <c r="E36" s="15">
        <f>SUM($D$35:D36)</f>
        <v>200</v>
      </c>
      <c r="F36" s="14">
        <f t="shared" si="18"/>
        <v>21.666666666666668</v>
      </c>
      <c r="G36" s="15">
        <f>SUM($F$35:F36)</f>
        <v>43.333333333333336</v>
      </c>
      <c r="H36" s="14">
        <f t="shared" ref="H36:H46" si="24">G36*7.6</f>
        <v>329.33333333333331</v>
      </c>
      <c r="I36" s="25">
        <f t="shared" si="19"/>
        <v>200</v>
      </c>
      <c r="J36" s="15">
        <f>I36*Parameters!$B$11</f>
        <v>6043.1174089068827</v>
      </c>
      <c r="K36" s="26">
        <f t="shared" si="20"/>
        <v>2500</v>
      </c>
      <c r="L36" s="16">
        <f t="shared" si="21"/>
        <v>11626.113360323887</v>
      </c>
      <c r="M36" s="26">
        <f t="shared" si="22"/>
        <v>2500</v>
      </c>
      <c r="N36" s="16">
        <f>I36*Franchise_OP_NP_per_uur</f>
        <v>1498.178137651822</v>
      </c>
      <c r="O36" s="16">
        <f>IF(M36-N36&lt;0,0,M36-N36)</f>
        <v>1001.821862348178</v>
      </c>
      <c r="P36" s="17">
        <f>O36-O35</f>
        <v>525.81983805668006</v>
      </c>
      <c r="Q36" s="17">
        <f t="shared" ref="Q36:Q46" si="25">(O36-O35)*Premie___OP_NP</f>
        <v>148.80701417004045</v>
      </c>
      <c r="R36" s="24">
        <f>SUM($Q$35:Q36)</f>
        <v>283.51558704453436</v>
      </c>
      <c r="S36" s="27">
        <f>(K36-K35)*Premie__VOS</f>
        <v>10.799999999999999</v>
      </c>
      <c r="T36" s="24">
        <f>SUM($S$35:S36)</f>
        <v>22.5</v>
      </c>
    </row>
    <row r="37" spans="1:20" x14ac:dyDescent="0.25">
      <c r="A37" s="13" t="s">
        <v>20</v>
      </c>
      <c r="B37" s="17">
        <v>1200</v>
      </c>
      <c r="C37" s="16">
        <f t="shared" si="23"/>
        <v>3700</v>
      </c>
      <c r="D37" s="18">
        <v>110</v>
      </c>
      <c r="E37" s="15">
        <f>SUM($D$35:D37)</f>
        <v>310</v>
      </c>
      <c r="F37" s="14">
        <f t="shared" si="18"/>
        <v>21.666666666666668</v>
      </c>
      <c r="G37" s="15">
        <f>SUM($F$35:F37)</f>
        <v>65</v>
      </c>
      <c r="H37" s="14">
        <f t="shared" si="24"/>
        <v>494</v>
      </c>
      <c r="I37" s="25">
        <f t="shared" si="19"/>
        <v>310</v>
      </c>
      <c r="J37" s="15">
        <f>I37*Parameters!$B$11</f>
        <v>9366.8319838056686</v>
      </c>
      <c r="K37" s="26">
        <f t="shared" si="20"/>
        <v>3700</v>
      </c>
      <c r="L37" s="16">
        <f t="shared" si="21"/>
        <v>18020.475708502025</v>
      </c>
      <c r="M37" s="26">
        <f t="shared" si="22"/>
        <v>3700</v>
      </c>
      <c r="N37" s="16">
        <f>I37*Franchise_OP_NP_per_uur</f>
        <v>2322.1761133603241</v>
      </c>
      <c r="O37" s="16">
        <f>IF(M37-N37&lt;0,0,M37-N37)</f>
        <v>1377.8238866396759</v>
      </c>
      <c r="P37" s="17">
        <f t="shared" ref="P37:P46" si="26">O37-O36</f>
        <v>376.00202429149795</v>
      </c>
      <c r="Q37" s="17">
        <f t="shared" si="25"/>
        <v>106.40857287449391</v>
      </c>
      <c r="R37" s="24">
        <f>SUM($Q$35:Q37)</f>
        <v>389.92415991902828</v>
      </c>
      <c r="S37" s="27">
        <f>(K37-K36)*Premie__VOS</f>
        <v>10.799999999999999</v>
      </c>
      <c r="T37" s="24">
        <f>SUM($S$35:S37)</f>
        <v>33.299999999999997</v>
      </c>
    </row>
    <row r="38" spans="1:20" x14ac:dyDescent="0.25">
      <c r="A38" s="13" t="s">
        <v>21</v>
      </c>
      <c r="B38" s="17">
        <v>1500</v>
      </c>
      <c r="C38" s="16">
        <f t="shared" si="23"/>
        <v>5200</v>
      </c>
      <c r="D38" s="18">
        <v>100</v>
      </c>
      <c r="E38" s="15">
        <f>SUM($D$35:D38)</f>
        <v>410</v>
      </c>
      <c r="F38" s="14">
        <f t="shared" si="18"/>
        <v>21.666666666666668</v>
      </c>
      <c r="G38" s="15">
        <f>SUM($F$35:F38)</f>
        <v>86.666666666666671</v>
      </c>
      <c r="H38" s="14">
        <f t="shared" si="24"/>
        <v>658.66666666666663</v>
      </c>
      <c r="I38" s="25">
        <f t="shared" si="19"/>
        <v>410</v>
      </c>
      <c r="J38" s="15">
        <f>I38*Parameters!$B$11</f>
        <v>12388.390688259109</v>
      </c>
      <c r="K38" s="26">
        <f t="shared" si="20"/>
        <v>5200</v>
      </c>
      <c r="L38" s="16">
        <f t="shared" si="21"/>
        <v>23833.532388663967</v>
      </c>
      <c r="M38" s="26">
        <f t="shared" si="22"/>
        <v>5200</v>
      </c>
      <c r="N38" s="16">
        <f>I38*Franchise_OP_NP_per_uur</f>
        <v>3071.2651821862351</v>
      </c>
      <c r="O38" s="16">
        <f>IF(M38-N38&lt;0,0,M38-N38)</f>
        <v>2128.7348178137649</v>
      </c>
      <c r="P38" s="17">
        <f t="shared" si="26"/>
        <v>750.910931174089</v>
      </c>
      <c r="Q38" s="17">
        <f t="shared" si="25"/>
        <v>212.50779352226718</v>
      </c>
      <c r="R38" s="24">
        <f>SUM($Q$35:Q38)</f>
        <v>602.43195344129549</v>
      </c>
      <c r="S38" s="27">
        <f>(K38-K37)*Premie__VOS</f>
        <v>13.499999999999998</v>
      </c>
      <c r="T38" s="24">
        <f>SUM($S$35:S38)</f>
        <v>46.8</v>
      </c>
    </row>
    <row r="39" spans="1:20" x14ac:dyDescent="0.25">
      <c r="A39" s="13" t="s">
        <v>22</v>
      </c>
      <c r="B39" s="17">
        <v>2700</v>
      </c>
      <c r="C39" s="16">
        <f t="shared" si="23"/>
        <v>7900</v>
      </c>
      <c r="D39" s="18">
        <v>120</v>
      </c>
      <c r="E39" s="15">
        <f>SUM($D$35:D39)</f>
        <v>530</v>
      </c>
      <c r="F39" s="14">
        <f t="shared" si="18"/>
        <v>21.666666666666668</v>
      </c>
      <c r="G39" s="15">
        <f>SUM($F$35:F39)</f>
        <v>108.33333333333334</v>
      </c>
      <c r="H39" s="14">
        <f t="shared" si="24"/>
        <v>823.33333333333337</v>
      </c>
      <c r="I39" s="25">
        <f t="shared" si="19"/>
        <v>530</v>
      </c>
      <c r="J39" s="15">
        <f>I39*Parameters!$B$11</f>
        <v>16014.261133603239</v>
      </c>
      <c r="K39" s="26">
        <f t="shared" si="20"/>
        <v>7900</v>
      </c>
      <c r="L39" s="16">
        <f t="shared" si="21"/>
        <v>30809.200404858297</v>
      </c>
      <c r="M39" s="26">
        <f t="shared" si="22"/>
        <v>7900</v>
      </c>
      <c r="N39" s="16">
        <f>I39*Franchise_OP_NP_per_uur</f>
        <v>3970.1720647773282</v>
      </c>
      <c r="O39" s="16">
        <f>IF(M39-N39&lt;0,0,M39-N39)</f>
        <v>3929.8279352226718</v>
      </c>
      <c r="P39" s="17">
        <f t="shared" si="26"/>
        <v>1801.0931174089069</v>
      </c>
      <c r="Q39" s="17">
        <f t="shared" si="25"/>
        <v>509.70935222672063</v>
      </c>
      <c r="R39" s="24">
        <f>SUM($Q$35:Q39)</f>
        <v>1112.1413056680162</v>
      </c>
      <c r="S39" s="27">
        <f>(K39-K38)*Premie__VOS</f>
        <v>24.299999999999997</v>
      </c>
      <c r="T39" s="24">
        <f>SUM($S$35:S39)</f>
        <v>71.099999999999994</v>
      </c>
    </row>
    <row r="40" spans="1:20" x14ac:dyDescent="0.25">
      <c r="A40" s="13" t="s">
        <v>23</v>
      </c>
      <c r="B40" s="17">
        <v>1300</v>
      </c>
      <c r="C40" s="16">
        <f t="shared" si="23"/>
        <v>9200</v>
      </c>
      <c r="D40" s="18">
        <v>90</v>
      </c>
      <c r="E40" s="15">
        <f>SUM($D$35:D40)</f>
        <v>620</v>
      </c>
      <c r="F40" s="14">
        <f t="shared" si="18"/>
        <v>21.666666666666668</v>
      </c>
      <c r="G40" s="15">
        <f>SUM($F$35:F40)</f>
        <v>130</v>
      </c>
      <c r="H40" s="14">
        <f t="shared" si="24"/>
        <v>988</v>
      </c>
      <c r="I40" s="25">
        <f t="shared" si="19"/>
        <v>620</v>
      </c>
      <c r="J40" s="15">
        <f>I40*Parameters!$B$11</f>
        <v>18733.663967611337</v>
      </c>
      <c r="K40" s="26">
        <f t="shared" si="20"/>
        <v>9200</v>
      </c>
      <c r="L40" s="16">
        <f t="shared" si="21"/>
        <v>36040.951417004049</v>
      </c>
      <c r="M40" s="26">
        <f t="shared" si="22"/>
        <v>9200</v>
      </c>
      <c r="N40" s="16">
        <f>I40*Franchise_OP_NP_per_uur</f>
        <v>4644.3522267206481</v>
      </c>
      <c r="O40" s="16">
        <f>IF(M40-N40&lt;0,0,M40-N40)</f>
        <v>4555.6477732793519</v>
      </c>
      <c r="P40" s="17">
        <f t="shared" si="26"/>
        <v>625.81983805668006</v>
      </c>
      <c r="Q40" s="17">
        <f t="shared" si="25"/>
        <v>177.10701417004043</v>
      </c>
      <c r="R40" s="24">
        <f>SUM($Q$35:Q40)</f>
        <v>1289.2483198380567</v>
      </c>
      <c r="S40" s="27">
        <f>(K40-K39)*Premie__VOS</f>
        <v>11.7</v>
      </c>
      <c r="T40" s="24">
        <f>SUM($S$35:S40)</f>
        <v>82.8</v>
      </c>
    </row>
    <row r="41" spans="1:20" x14ac:dyDescent="0.25">
      <c r="A41" s="13" t="s">
        <v>24</v>
      </c>
      <c r="B41" s="17">
        <v>1300</v>
      </c>
      <c r="C41" s="16">
        <f t="shared" si="23"/>
        <v>10500</v>
      </c>
      <c r="D41" s="18">
        <v>82</v>
      </c>
      <c r="E41" s="15">
        <f>SUM($D$35:D41)</f>
        <v>702</v>
      </c>
      <c r="F41" s="14">
        <f t="shared" si="18"/>
        <v>21.666666666666668</v>
      </c>
      <c r="G41" s="15">
        <f>SUM($F$35:F41)</f>
        <v>151.66666666666666</v>
      </c>
      <c r="H41" s="14">
        <f t="shared" si="24"/>
        <v>1152.6666666666665</v>
      </c>
      <c r="I41" s="25">
        <f t="shared" si="19"/>
        <v>702</v>
      </c>
      <c r="J41" s="15">
        <f>I41*Parameters!$B$11</f>
        <v>21211.342105263157</v>
      </c>
      <c r="K41" s="26">
        <f t="shared" si="20"/>
        <v>10500</v>
      </c>
      <c r="L41" s="16">
        <f t="shared" si="21"/>
        <v>40807.65789473684</v>
      </c>
      <c r="M41" s="26">
        <f t="shared" si="22"/>
        <v>10500</v>
      </c>
      <c r="N41" s="16">
        <f>I41*Franchise_OP_NP_per_uur</f>
        <v>5258.605263157895</v>
      </c>
      <c r="O41" s="16">
        <f>IF(M41-N41&lt;0,0,M41-N41)</f>
        <v>5241.394736842105</v>
      </c>
      <c r="P41" s="17">
        <f t="shared" si="26"/>
        <v>685.74696356275308</v>
      </c>
      <c r="Q41" s="17">
        <f t="shared" si="25"/>
        <v>194.0663906882591</v>
      </c>
      <c r="R41" s="24">
        <f>SUM($Q$35:Q41)</f>
        <v>1483.3147105263158</v>
      </c>
      <c r="S41" s="27">
        <f>(K41-K40)*Premie__VOS</f>
        <v>11.7</v>
      </c>
      <c r="T41" s="24">
        <f>SUM($S$35:S41)</f>
        <v>94.5</v>
      </c>
    </row>
    <row r="42" spans="1:20" x14ac:dyDescent="0.25">
      <c r="A42" s="13" t="s">
        <v>25</v>
      </c>
      <c r="B42" s="17">
        <v>1400</v>
      </c>
      <c r="C42" s="16">
        <f t="shared" si="23"/>
        <v>11900</v>
      </c>
      <c r="D42" s="18">
        <v>120</v>
      </c>
      <c r="E42" s="15">
        <f>SUM($D$35:D42)</f>
        <v>822</v>
      </c>
      <c r="F42" s="14">
        <f t="shared" si="18"/>
        <v>21.666666666666668</v>
      </c>
      <c r="G42" s="15">
        <f>SUM($F$35:F42)</f>
        <v>173.33333333333331</v>
      </c>
      <c r="H42" s="14">
        <f t="shared" si="24"/>
        <v>1317.333333333333</v>
      </c>
      <c r="I42" s="25">
        <f t="shared" si="19"/>
        <v>822</v>
      </c>
      <c r="J42" s="15">
        <f>I42*Parameters!$B$11</f>
        <v>24837.212550607288</v>
      </c>
      <c r="K42" s="26">
        <f t="shared" si="20"/>
        <v>11900</v>
      </c>
      <c r="L42" s="16">
        <f t="shared" si="21"/>
        <v>47783.325910931169</v>
      </c>
      <c r="M42" s="26">
        <f t="shared" si="22"/>
        <v>11900</v>
      </c>
      <c r="N42" s="16">
        <f>I42*Franchise_OP_NP_per_uur</f>
        <v>6157.5121457489877</v>
      </c>
      <c r="O42" s="16">
        <f>IF(M42-N42&lt;0,0,M42-N42)</f>
        <v>5742.4878542510123</v>
      </c>
      <c r="P42" s="17">
        <f t="shared" si="26"/>
        <v>501.09311740890735</v>
      </c>
      <c r="Q42" s="17">
        <f t="shared" si="25"/>
        <v>141.80935222672076</v>
      </c>
      <c r="R42" s="24">
        <f>SUM($Q$35:Q42)</f>
        <v>1625.1240627530365</v>
      </c>
      <c r="S42" s="27">
        <f>(K42-K41)*Premie__VOS</f>
        <v>12.6</v>
      </c>
      <c r="T42" s="24">
        <f>SUM($S$35:S42)</f>
        <v>107.1</v>
      </c>
    </row>
    <row r="43" spans="1:20" x14ac:dyDescent="0.25">
      <c r="A43" s="13" t="s">
        <v>26</v>
      </c>
      <c r="B43" s="17">
        <v>1400</v>
      </c>
      <c r="C43" s="16">
        <f t="shared" si="23"/>
        <v>13300</v>
      </c>
      <c r="D43" s="18">
        <v>100</v>
      </c>
      <c r="E43" s="15">
        <f>SUM($D$35:D43)</f>
        <v>922</v>
      </c>
      <c r="F43" s="14">
        <f t="shared" si="18"/>
        <v>21.666666666666668</v>
      </c>
      <c r="G43" s="15">
        <f>SUM($F$35:F43)</f>
        <v>194.99999999999997</v>
      </c>
      <c r="H43" s="14">
        <f t="shared" si="24"/>
        <v>1481.9999999999998</v>
      </c>
      <c r="I43" s="25">
        <f t="shared" si="19"/>
        <v>922</v>
      </c>
      <c r="J43" s="15">
        <f>I43*Parameters!$B$11</f>
        <v>27858.771255060728</v>
      </c>
      <c r="K43" s="26">
        <f t="shared" si="20"/>
        <v>13300</v>
      </c>
      <c r="L43" s="16">
        <f t="shared" si="21"/>
        <v>53596.382591093112</v>
      </c>
      <c r="M43" s="26">
        <f t="shared" si="22"/>
        <v>13300</v>
      </c>
      <c r="N43" s="16">
        <f>I43*Franchise_OP_NP_per_uur</f>
        <v>6906.6012145748991</v>
      </c>
      <c r="O43" s="16">
        <f>IF(M43-N43&lt;0,0,M43-N43)</f>
        <v>6393.3987854251009</v>
      </c>
      <c r="P43" s="17">
        <f t="shared" si="26"/>
        <v>650.91093117408855</v>
      </c>
      <c r="Q43" s="17">
        <f t="shared" si="25"/>
        <v>184.20779352226705</v>
      </c>
      <c r="R43" s="24">
        <f>SUM($Q$35:Q43)</f>
        <v>1809.3318562753036</v>
      </c>
      <c r="S43" s="27">
        <f>(K43-K42)*Premie__VOS</f>
        <v>12.6</v>
      </c>
      <c r="T43" s="24">
        <f>SUM($S$35:S43)</f>
        <v>119.69999999999999</v>
      </c>
    </row>
    <row r="44" spans="1:20" x14ac:dyDescent="0.25">
      <c r="A44" s="13" t="s">
        <v>27</v>
      </c>
      <c r="B44" s="17">
        <v>1400</v>
      </c>
      <c r="C44" s="16">
        <f t="shared" si="23"/>
        <v>14700</v>
      </c>
      <c r="D44" s="18">
        <v>110</v>
      </c>
      <c r="E44" s="15">
        <f>SUM($D$35:D44)</f>
        <v>1032</v>
      </c>
      <c r="F44" s="14">
        <f t="shared" si="18"/>
        <v>21.666666666666668</v>
      </c>
      <c r="G44" s="15">
        <f>SUM($F$35:F44)</f>
        <v>216.66666666666663</v>
      </c>
      <c r="H44" s="14">
        <f t="shared" si="24"/>
        <v>1646.6666666666663</v>
      </c>
      <c r="I44" s="25">
        <f t="shared" si="19"/>
        <v>1032</v>
      </c>
      <c r="J44" s="15">
        <f>I44*Parameters!$B$11</f>
        <v>31182.485829959514</v>
      </c>
      <c r="K44" s="26">
        <f t="shared" si="20"/>
        <v>14700</v>
      </c>
      <c r="L44" s="16">
        <f t="shared" si="21"/>
        <v>59990.744939271251</v>
      </c>
      <c r="M44" s="26">
        <f t="shared" si="22"/>
        <v>14700</v>
      </c>
      <c r="N44" s="16">
        <f>I44*Franchise_OP_NP_per_uur</f>
        <v>7730.5991902834012</v>
      </c>
      <c r="O44" s="16">
        <f>IF(M44-N44&lt;0,0,M44-N44)</f>
        <v>6969.4008097165988</v>
      </c>
      <c r="P44" s="17">
        <f t="shared" si="26"/>
        <v>576.00202429149795</v>
      </c>
      <c r="Q44" s="17">
        <f t="shared" si="25"/>
        <v>163.00857287449389</v>
      </c>
      <c r="R44" s="24">
        <f>SUM($Q$35:Q44)</f>
        <v>1972.3404291497975</v>
      </c>
      <c r="S44" s="27">
        <f>(K44-K43)*Premie__VOS</f>
        <v>12.6</v>
      </c>
      <c r="T44" s="24">
        <f>SUM($S$35:S44)</f>
        <v>132.29999999999998</v>
      </c>
    </row>
    <row r="45" spans="1:20" x14ac:dyDescent="0.25">
      <c r="A45" s="13" t="s">
        <v>28</v>
      </c>
      <c r="B45" s="17">
        <v>1400</v>
      </c>
      <c r="C45" s="16">
        <f t="shared" si="23"/>
        <v>16100</v>
      </c>
      <c r="D45" s="18">
        <v>110</v>
      </c>
      <c r="E45" s="15">
        <f>SUM($D$35:D45)</f>
        <v>1142</v>
      </c>
      <c r="F45" s="14">
        <f t="shared" si="18"/>
        <v>21.666666666666668</v>
      </c>
      <c r="G45" s="15">
        <f>SUM($F$35:F45)</f>
        <v>238.33333333333329</v>
      </c>
      <c r="H45" s="14">
        <f t="shared" si="24"/>
        <v>1811.3333333333328</v>
      </c>
      <c r="I45" s="25">
        <f t="shared" si="19"/>
        <v>1142</v>
      </c>
      <c r="J45" s="15">
        <f>I45*Parameters!$B$11</f>
        <v>34506.200404858297</v>
      </c>
      <c r="K45" s="26">
        <f t="shared" si="20"/>
        <v>16100</v>
      </c>
      <c r="L45" s="16">
        <f t="shared" si="21"/>
        <v>66385.107287449384</v>
      </c>
      <c r="M45" s="26">
        <f t="shared" si="22"/>
        <v>16100</v>
      </c>
      <c r="N45" s="16">
        <f>I45*Franchise_OP_NP_per_uur</f>
        <v>8554.5971659919032</v>
      </c>
      <c r="O45" s="16">
        <f>IF(M45-N45&lt;0,0,M45-N45)</f>
        <v>7545.4028340080968</v>
      </c>
      <c r="P45" s="17">
        <f t="shared" si="26"/>
        <v>576.00202429149795</v>
      </c>
      <c r="Q45" s="17">
        <f t="shared" si="25"/>
        <v>163.00857287449389</v>
      </c>
      <c r="R45" s="24">
        <f>SUM($Q$35:Q45)</f>
        <v>2135.3490020242916</v>
      </c>
      <c r="S45" s="27">
        <f>(K45-K44)*Premie__VOS</f>
        <v>12.6</v>
      </c>
      <c r="T45" s="24">
        <f>SUM($S$35:S45)</f>
        <v>144.89999999999998</v>
      </c>
    </row>
    <row r="46" spans="1:20" x14ac:dyDescent="0.25">
      <c r="A46" s="13" t="s">
        <v>29</v>
      </c>
      <c r="B46" s="17">
        <v>2500</v>
      </c>
      <c r="C46" s="16">
        <f t="shared" si="23"/>
        <v>18600</v>
      </c>
      <c r="D46" s="18">
        <v>100</v>
      </c>
      <c r="E46" s="15">
        <f>SUM($D$35:D46)</f>
        <v>1242</v>
      </c>
      <c r="F46" s="14">
        <f t="shared" si="18"/>
        <v>21.666666666666668</v>
      </c>
      <c r="G46" s="15">
        <f>SUM($F$35:F46)</f>
        <v>259.99999999999994</v>
      </c>
      <c r="H46" s="14">
        <f t="shared" si="24"/>
        <v>1975.9999999999995</v>
      </c>
      <c r="I46" s="25">
        <f t="shared" si="19"/>
        <v>1242</v>
      </c>
      <c r="J46" s="15">
        <f>I46*Parameters!$B$11</f>
        <v>37527.759109311737</v>
      </c>
      <c r="K46" s="26">
        <f t="shared" si="20"/>
        <v>18600</v>
      </c>
      <c r="L46" s="16">
        <f t="shared" si="21"/>
        <v>72198.163967611326</v>
      </c>
      <c r="M46" s="26">
        <f t="shared" si="22"/>
        <v>18600</v>
      </c>
      <c r="N46" s="16">
        <f>I46*Franchise_OP_NP_per_uur</f>
        <v>9303.6862348178147</v>
      </c>
      <c r="O46" s="16">
        <f>IF(M46-N46&lt;0,0,M46-N46)</f>
        <v>9296.3137651821853</v>
      </c>
      <c r="P46" s="17">
        <f t="shared" si="26"/>
        <v>1750.9109311740885</v>
      </c>
      <c r="Q46" s="17">
        <f t="shared" si="25"/>
        <v>495.50779352226704</v>
      </c>
      <c r="R46" s="24">
        <f>SUM($Q$35:Q46)</f>
        <v>2630.8567955465587</v>
      </c>
      <c r="S46" s="27">
        <f>(K46-K45)*Premie__VOS</f>
        <v>22.5</v>
      </c>
      <c r="T46" s="24">
        <f>SUM($S$35:S46)</f>
        <v>167.39999999999998</v>
      </c>
    </row>
    <row r="47" spans="1:20" x14ac:dyDescent="0.25">
      <c r="Q47" s="28"/>
    </row>
    <row r="49" spans="1:20" x14ac:dyDescent="0.25">
      <c r="A49" s="3" t="s">
        <v>42</v>
      </c>
      <c r="B49" s="3" t="s">
        <v>50</v>
      </c>
      <c r="C49" s="3"/>
      <c r="D49" s="3"/>
      <c r="E49" s="3"/>
      <c r="F49" s="3"/>
      <c r="G49" s="3"/>
      <c r="H49" s="3"/>
      <c r="I49" s="3"/>
      <c r="J49" s="3"/>
      <c r="K49" s="3"/>
      <c r="N49" s="3"/>
      <c r="O49" s="3"/>
    </row>
    <row r="50" spans="1:20" s="20" customFormat="1" ht="51.75" x14ac:dyDescent="0.25">
      <c r="A50" s="19" t="s">
        <v>17</v>
      </c>
      <c r="B50" s="19" t="s">
        <v>0</v>
      </c>
      <c r="C50" s="19" t="s">
        <v>30</v>
      </c>
      <c r="D50" s="19" t="s">
        <v>1</v>
      </c>
      <c r="E50" s="19" t="s">
        <v>32</v>
      </c>
      <c r="F50" s="19" t="s">
        <v>2</v>
      </c>
      <c r="G50" s="19" t="s">
        <v>31</v>
      </c>
      <c r="H50" s="19" t="s">
        <v>37</v>
      </c>
      <c r="I50" s="19" t="s">
        <v>38</v>
      </c>
      <c r="J50" s="19" t="s">
        <v>40</v>
      </c>
      <c r="K50" s="19" t="s">
        <v>36</v>
      </c>
      <c r="L50" s="19" t="s">
        <v>39</v>
      </c>
      <c r="M50" s="19" t="s">
        <v>35</v>
      </c>
      <c r="N50" s="19" t="s">
        <v>33</v>
      </c>
      <c r="O50" s="19" t="s">
        <v>34</v>
      </c>
      <c r="P50" s="19" t="s">
        <v>47</v>
      </c>
      <c r="Q50" s="23" t="s">
        <v>43</v>
      </c>
      <c r="R50" s="19" t="s">
        <v>44</v>
      </c>
      <c r="S50" s="23" t="s">
        <v>45</v>
      </c>
      <c r="T50" s="19" t="s">
        <v>46</v>
      </c>
    </row>
    <row r="51" spans="1:20" x14ac:dyDescent="0.25">
      <c r="A51" s="13" t="s">
        <v>18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25">
      <c r="A52" s="13" t="s">
        <v>19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25">
      <c r="A53" s="13" t="s">
        <v>20</v>
      </c>
      <c r="B53" s="17">
        <v>1200</v>
      </c>
      <c r="C53" s="16">
        <f t="shared" ref="C53:C58" si="27">C52+B53</f>
        <v>1200</v>
      </c>
      <c r="D53" s="18">
        <v>110</v>
      </c>
      <c r="E53" s="15">
        <f>SUM($D$53:D53)</f>
        <v>110</v>
      </c>
      <c r="F53" s="14">
        <f t="shared" ref="F53:F58" si="28">Aantal_SV_dagen_in_het_jaar/12</f>
        <v>21.666666666666668</v>
      </c>
      <c r="G53" s="15">
        <f>SUM($F$53:F53)</f>
        <v>21.666666666666668</v>
      </c>
      <c r="H53" s="14">
        <f t="shared" ref="H53:H58" si="29">G53*7.6</f>
        <v>164.66666666666666</v>
      </c>
      <c r="I53" s="25">
        <f t="shared" ref="I53:I58" si="30">MIN(H53,E53)</f>
        <v>110</v>
      </c>
      <c r="J53" s="15">
        <f>I53*Parameters!$B$11</f>
        <v>3323.7145748987855</v>
      </c>
      <c r="K53" s="26">
        <f t="shared" ref="K53:K58" si="31">MIN(J53,C53)</f>
        <v>1200</v>
      </c>
      <c r="L53" s="16">
        <f t="shared" ref="L53:L58" si="32">I53*Max_pensioengev_salaris_per_uur_OP_NP</f>
        <v>6394.3623481781369</v>
      </c>
      <c r="M53" s="26">
        <f t="shared" ref="M53:M58" si="33">MIN(L53,C53)</f>
        <v>1200</v>
      </c>
      <c r="N53" s="16">
        <f>I53*Franchise_OP_NP_per_uur</f>
        <v>823.99797570850205</v>
      </c>
      <c r="O53" s="16">
        <f>IF(M53-N53&lt;0,0,M53-N53)</f>
        <v>376.00202429149795</v>
      </c>
      <c r="P53" s="17">
        <f>O53-O52</f>
        <v>376.00202429149795</v>
      </c>
      <c r="Q53" s="17">
        <f t="shared" ref="Q53:Q58" si="34">(O53-O52)*Premie___OP_NP</f>
        <v>106.40857287449391</v>
      </c>
      <c r="R53" s="24">
        <f>SUM($Q$53:Q53)</f>
        <v>106.40857287449391</v>
      </c>
      <c r="S53" s="27">
        <f>(K53-K52)*Premie__VOS</f>
        <v>10.799999999999999</v>
      </c>
      <c r="T53" s="24">
        <f>SUM($S$53:S53)</f>
        <v>10.799999999999999</v>
      </c>
    </row>
    <row r="54" spans="1:20" x14ac:dyDescent="0.25">
      <c r="A54" s="13" t="s">
        <v>21</v>
      </c>
      <c r="B54" s="17">
        <v>1500</v>
      </c>
      <c r="C54" s="16">
        <f t="shared" si="27"/>
        <v>2700</v>
      </c>
      <c r="D54" s="18">
        <v>100</v>
      </c>
      <c r="E54" s="15">
        <f>SUM($D$53:D54)</f>
        <v>210</v>
      </c>
      <c r="F54" s="14">
        <f t="shared" si="28"/>
        <v>21.666666666666668</v>
      </c>
      <c r="G54" s="15">
        <f>SUM($F$53:F54)</f>
        <v>43.333333333333336</v>
      </c>
      <c r="H54" s="14">
        <f t="shared" si="29"/>
        <v>329.33333333333331</v>
      </c>
      <c r="I54" s="25">
        <f t="shared" si="30"/>
        <v>210</v>
      </c>
      <c r="J54" s="15">
        <f>I54*Parameters!$B$11</f>
        <v>6345.2732793522264</v>
      </c>
      <c r="K54" s="26">
        <f t="shared" si="31"/>
        <v>2700</v>
      </c>
      <c r="L54" s="16">
        <f t="shared" si="32"/>
        <v>12207.41902834008</v>
      </c>
      <c r="M54" s="26">
        <f t="shared" si="33"/>
        <v>2700</v>
      </c>
      <c r="N54" s="16">
        <f>I54*Franchise_OP_NP_per_uur</f>
        <v>1573.0870445344131</v>
      </c>
      <c r="O54" s="16">
        <f>IF(M54-N54&lt;0,0,M54-N54)</f>
        <v>1126.9129554655869</v>
      </c>
      <c r="P54" s="17">
        <f t="shared" ref="P54:P58" si="35">O54-O53</f>
        <v>750.910931174089</v>
      </c>
      <c r="Q54" s="17">
        <f t="shared" si="34"/>
        <v>212.50779352226718</v>
      </c>
      <c r="R54" s="24">
        <f>SUM($Q$53:Q54)</f>
        <v>318.91636639676108</v>
      </c>
      <c r="S54" s="27">
        <f>(K54-K53)*Premie__VOS</f>
        <v>13.499999999999998</v>
      </c>
      <c r="T54" s="24">
        <f>SUM($S$53:S54)</f>
        <v>24.299999999999997</v>
      </c>
    </row>
    <row r="55" spans="1:20" x14ac:dyDescent="0.25">
      <c r="A55" s="13" t="s">
        <v>22</v>
      </c>
      <c r="B55" s="17">
        <v>2100</v>
      </c>
      <c r="C55" s="16">
        <f t="shared" si="27"/>
        <v>4800</v>
      </c>
      <c r="D55" s="18">
        <v>95</v>
      </c>
      <c r="E55" s="15">
        <f>SUM($D$53:D55)</f>
        <v>305</v>
      </c>
      <c r="F55" s="14">
        <f t="shared" si="28"/>
        <v>21.666666666666668</v>
      </c>
      <c r="G55" s="15">
        <f>SUM($F$53:F55)</f>
        <v>65</v>
      </c>
      <c r="H55" s="14">
        <f t="shared" si="29"/>
        <v>494</v>
      </c>
      <c r="I55" s="25">
        <f t="shared" si="30"/>
        <v>305</v>
      </c>
      <c r="J55" s="15">
        <f>I55*Parameters!$B$11</f>
        <v>9215.7540485829959</v>
      </c>
      <c r="K55" s="26">
        <f t="shared" si="31"/>
        <v>4800</v>
      </c>
      <c r="L55" s="16">
        <f t="shared" si="32"/>
        <v>17729.822874493926</v>
      </c>
      <c r="M55" s="26">
        <f t="shared" si="33"/>
        <v>4800</v>
      </c>
      <c r="N55" s="16">
        <f>I55*Franchise_OP_NP_per_uur</f>
        <v>2284.7216599190283</v>
      </c>
      <c r="O55" s="16">
        <f>IF(M55-N55&lt;0,0,M55-N55)</f>
        <v>2515.2783400809717</v>
      </c>
      <c r="P55" s="17">
        <f t="shared" si="35"/>
        <v>1388.3653846153848</v>
      </c>
      <c r="Q55" s="17">
        <f t="shared" si="34"/>
        <v>392.90740384615384</v>
      </c>
      <c r="R55" s="24">
        <f>SUM($Q$53:Q55)</f>
        <v>711.82377024291486</v>
      </c>
      <c r="S55" s="27">
        <f>(K55-K54)*Premie__VOS</f>
        <v>18.899999999999999</v>
      </c>
      <c r="T55" s="24">
        <f>SUM($S$53:S55)</f>
        <v>43.199999999999996</v>
      </c>
    </row>
    <row r="56" spans="1:20" x14ac:dyDescent="0.25">
      <c r="A56" s="13" t="s">
        <v>23</v>
      </c>
      <c r="B56" s="17">
        <v>1300</v>
      </c>
      <c r="C56" s="16">
        <f t="shared" si="27"/>
        <v>6100</v>
      </c>
      <c r="D56" s="18">
        <v>110</v>
      </c>
      <c r="E56" s="15">
        <f>SUM($D$53:D56)</f>
        <v>415</v>
      </c>
      <c r="F56" s="14">
        <f t="shared" si="28"/>
        <v>21.666666666666668</v>
      </c>
      <c r="G56" s="15">
        <f>SUM($F$53:F56)</f>
        <v>86.666666666666671</v>
      </c>
      <c r="H56" s="14">
        <f t="shared" si="29"/>
        <v>658.66666666666663</v>
      </c>
      <c r="I56" s="25">
        <f t="shared" si="30"/>
        <v>415</v>
      </c>
      <c r="J56" s="15">
        <f>I56*Parameters!$B$11</f>
        <v>12539.468623481782</v>
      </c>
      <c r="K56" s="26">
        <f t="shared" si="31"/>
        <v>6100</v>
      </c>
      <c r="L56" s="16">
        <f t="shared" si="32"/>
        <v>24124.185222672062</v>
      </c>
      <c r="M56" s="26">
        <f t="shared" si="33"/>
        <v>6100</v>
      </c>
      <c r="N56" s="16">
        <f>I56*Franchise_OP_NP_per_uur</f>
        <v>3108.7196356275304</v>
      </c>
      <c r="O56" s="16">
        <f>IF(M56-N56&lt;0,0,M56-N56)</f>
        <v>2991.2803643724696</v>
      </c>
      <c r="P56" s="17">
        <f t="shared" si="35"/>
        <v>476.00202429149795</v>
      </c>
      <c r="Q56" s="17">
        <f t="shared" si="34"/>
        <v>134.70857287449391</v>
      </c>
      <c r="R56" s="24">
        <f>SUM($Q$53:Q56)</f>
        <v>846.5323431174088</v>
      </c>
      <c r="S56" s="27">
        <f>(K56-K55)*Premie__VOS</f>
        <v>11.7</v>
      </c>
      <c r="T56" s="24">
        <f>SUM($S$53:S56)</f>
        <v>54.899999999999991</v>
      </c>
    </row>
    <row r="57" spans="1:20" x14ac:dyDescent="0.25">
      <c r="A57" s="13" t="s">
        <v>24</v>
      </c>
      <c r="B57" s="17">
        <v>1300</v>
      </c>
      <c r="C57" s="16">
        <f t="shared" si="27"/>
        <v>7400</v>
      </c>
      <c r="D57" s="18">
        <v>100</v>
      </c>
      <c r="E57" s="15">
        <f>SUM($D$53:D57)</f>
        <v>515</v>
      </c>
      <c r="F57" s="14">
        <f t="shared" si="28"/>
        <v>21.666666666666668</v>
      </c>
      <c r="G57" s="15">
        <f>SUM($F$53:F57)</f>
        <v>108.33333333333334</v>
      </c>
      <c r="H57" s="14">
        <f t="shared" si="29"/>
        <v>823.33333333333337</v>
      </c>
      <c r="I57" s="25">
        <f t="shared" si="30"/>
        <v>515</v>
      </c>
      <c r="J57" s="15">
        <f>I57*Parameters!$B$11</f>
        <v>15561.027327935222</v>
      </c>
      <c r="K57" s="26">
        <f t="shared" si="31"/>
        <v>7400</v>
      </c>
      <c r="L57" s="16">
        <f t="shared" si="32"/>
        <v>29937.241902834008</v>
      </c>
      <c r="M57" s="26">
        <f t="shared" si="33"/>
        <v>7400</v>
      </c>
      <c r="N57" s="16">
        <f>I57*Franchise_OP_NP_per_uur</f>
        <v>3857.8087044534414</v>
      </c>
      <c r="O57" s="16">
        <f>IF(M57-N57&lt;0,0,M57-N57)</f>
        <v>3542.1912955465586</v>
      </c>
      <c r="P57" s="17">
        <f t="shared" si="35"/>
        <v>550.910931174089</v>
      </c>
      <c r="Q57" s="17">
        <f t="shared" si="34"/>
        <v>155.90779352226718</v>
      </c>
      <c r="R57" s="24">
        <f>SUM($Q$53:Q57)</f>
        <v>1002.440136639676</v>
      </c>
      <c r="S57" s="27">
        <f>(K57-K56)*Premie__VOS</f>
        <v>11.7</v>
      </c>
      <c r="T57" s="24">
        <f>SUM($S$53:S57)</f>
        <v>66.599999999999994</v>
      </c>
    </row>
    <row r="58" spans="1:20" x14ac:dyDescent="0.25">
      <c r="A58" s="13" t="s">
        <v>25</v>
      </c>
      <c r="B58" s="17">
        <v>1400</v>
      </c>
      <c r="C58" s="16">
        <f t="shared" si="27"/>
        <v>8800</v>
      </c>
      <c r="D58" s="18">
        <v>120</v>
      </c>
      <c r="E58" s="15">
        <f>SUM($D$53:D58)</f>
        <v>635</v>
      </c>
      <c r="F58" s="14">
        <f t="shared" si="28"/>
        <v>21.666666666666668</v>
      </c>
      <c r="G58" s="15">
        <f>SUM($F$53:F58)</f>
        <v>130</v>
      </c>
      <c r="H58" s="14">
        <f t="shared" si="29"/>
        <v>988</v>
      </c>
      <c r="I58" s="25">
        <f t="shared" si="30"/>
        <v>635</v>
      </c>
      <c r="J58" s="15">
        <f>I58*Parameters!$B$11</f>
        <v>19186.897773279354</v>
      </c>
      <c r="K58" s="26">
        <f t="shared" si="31"/>
        <v>8800</v>
      </c>
      <c r="L58" s="16">
        <f t="shared" si="32"/>
        <v>36912.909919028338</v>
      </c>
      <c r="M58" s="26">
        <f t="shared" si="33"/>
        <v>8800</v>
      </c>
      <c r="N58" s="16">
        <f>I58*Franchise_OP_NP_per_uur</f>
        <v>4756.7155870445349</v>
      </c>
      <c r="O58" s="16">
        <f>IF(M58-N58&lt;0,0,M58-N58)</f>
        <v>4043.2844129554651</v>
      </c>
      <c r="P58" s="17">
        <f t="shared" si="35"/>
        <v>501.09311740890644</v>
      </c>
      <c r="Q58" s="17">
        <f t="shared" si="34"/>
        <v>141.80935222672051</v>
      </c>
      <c r="R58" s="24">
        <f>SUM($Q$53:Q58)</f>
        <v>1144.2494888663964</v>
      </c>
      <c r="S58" s="27">
        <f>(K58-K57)*Premie__VOS</f>
        <v>12.6</v>
      </c>
      <c r="T58" s="24">
        <f>SUM($S$53:S58)</f>
        <v>79.199999999999989</v>
      </c>
    </row>
    <row r="59" spans="1:20" x14ac:dyDescent="0.25">
      <c r="A59" s="13" t="s">
        <v>26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25">
      <c r="A60" s="13" t="s">
        <v>27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25">
      <c r="A61" s="13" t="s">
        <v>28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25">
      <c r="A62" s="13" t="s">
        <v>29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18" sqref="B18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2022</v>
      </c>
      <c r="C1" s="4"/>
    </row>
    <row r="2" spans="1:3" s="3" customFormat="1" x14ac:dyDescent="0.25">
      <c r="A2" s="1" t="s">
        <v>6</v>
      </c>
      <c r="B2" s="5">
        <v>260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1976</v>
      </c>
      <c r="C3" s="4" t="s">
        <v>7</v>
      </c>
    </row>
    <row r="4" spans="1:3" x14ac:dyDescent="0.25">
      <c r="A4" s="1" t="s">
        <v>3</v>
      </c>
      <c r="B4" s="6" t="s">
        <v>51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14802</v>
      </c>
      <c r="C6" s="4" t="s">
        <v>7</v>
      </c>
    </row>
    <row r="7" spans="1:3" x14ac:dyDescent="0.25">
      <c r="A7" s="1" t="s">
        <v>11</v>
      </c>
      <c r="B7" s="8">
        <f>B6/B3</f>
        <v>7.4908906882591095</v>
      </c>
      <c r="C7" s="4" t="s">
        <v>12</v>
      </c>
    </row>
    <row r="8" spans="1:3" ht="25.5" x14ac:dyDescent="0.25">
      <c r="A8" s="1" t="s">
        <v>13</v>
      </c>
      <c r="B8" s="9">
        <v>114866</v>
      </c>
      <c r="C8" s="4" t="s">
        <v>7</v>
      </c>
    </row>
    <row r="9" spans="1:3" ht="25.5" x14ac:dyDescent="0.25">
      <c r="A9" s="1" t="s">
        <v>14</v>
      </c>
      <c r="B9" s="8">
        <f>B8/B3</f>
        <v>58.13056680161943</v>
      </c>
      <c r="C9" s="4" t="s">
        <v>12</v>
      </c>
    </row>
    <row r="10" spans="1:3" s="3" customFormat="1" x14ac:dyDescent="0.25">
      <c r="A10" s="1" t="s">
        <v>52</v>
      </c>
      <c r="B10" s="10">
        <v>59706</v>
      </c>
      <c r="C10" s="4" t="s">
        <v>7</v>
      </c>
    </row>
    <row r="11" spans="1:3" s="3" customFormat="1" x14ac:dyDescent="0.25">
      <c r="A11" s="1" t="s">
        <v>53</v>
      </c>
      <c r="B11" s="8">
        <f>B10/B3</f>
        <v>30.215587044534413</v>
      </c>
      <c r="C11" s="4" t="s">
        <v>12</v>
      </c>
    </row>
    <row r="12" spans="1:3" x14ac:dyDescent="0.25">
      <c r="A12" s="1" t="s">
        <v>15</v>
      </c>
      <c r="B12" s="11">
        <v>0.28299999999999997</v>
      </c>
      <c r="C12" s="4" t="s">
        <v>7</v>
      </c>
    </row>
    <row r="13" spans="1:3" x14ac:dyDescent="0.25">
      <c r="A13" s="12" t="s">
        <v>16</v>
      </c>
      <c r="B13" s="11">
        <v>8.9999999999999993E-3</v>
      </c>
      <c r="C13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716BDC-1DEE-426D-A865-1387E6A1CA78}"/>
</file>

<file path=customXml/itemProps2.xml><?xml version="1.0" encoding="utf-8"?>
<ds:datastoreItem xmlns:ds="http://schemas.openxmlformats.org/officeDocument/2006/customXml" ds:itemID="{5E3D8174-59D0-43ED-A1A3-7140FFB867B1}"/>
</file>

<file path=customXml/itemProps3.xml><?xml version="1.0" encoding="utf-8"?>
<ds:datastoreItem xmlns:ds="http://schemas.openxmlformats.org/officeDocument/2006/customXml" ds:itemID="{F0732C6D-F1A2-4A00-84A4-71548861D3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Maand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Max_pensioengev_salaris_per_uur_OP_NP</vt:lpstr>
      <vt:lpstr>Max_uren_per_gewerkte_dag</vt:lpstr>
      <vt:lpstr>Max_uren_per_sv_dag</vt:lpstr>
      <vt:lpstr>Normuren_per_jaar</vt:lpstr>
      <vt:lpstr>Premie___OP_NP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Peter Driehuijs</cp:lastModifiedBy>
  <dcterms:created xsi:type="dcterms:W3CDTF">2017-06-06T07:51:58Z</dcterms:created>
  <dcterms:modified xsi:type="dcterms:W3CDTF">2022-01-05T13:32:34Z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